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xr:revisionPtr revIDLastSave="0" documentId="8_{AA09880B-B2B0-48DD-9029-EEF17BB1D07E}" xr6:coauthVersionLast="47" xr6:coauthVersionMax="47" xr10:uidLastSave="{00000000-0000-0000-0000-000000000000}"/>
  <bookViews>
    <workbookView xWindow="-108" yWindow="-108" windowWidth="23256" windowHeight="13176" xr2:uid="{5D156D6B-2C0B-444A-BC8A-359DE1D21DA6}"/>
  </bookViews>
  <sheets>
    <sheet name="Výpočet KK 36M" sheetId="7" r:id="rId1"/>
    <sheet name="Výpočet KK 24 M" sheetId="6" r:id="rId2"/>
    <sheet name="Výpočet KK 36M poj. s DPH" sheetId="8" r:id="rId3"/>
    <sheet name="Výpočet JK" sheetId="1" r:id="rId4"/>
    <sheet name="SPK" sheetId="2" r:id="rId5"/>
    <sheet name="PZP" sheetId="3" r:id="rId6"/>
    <sheet name="KASKO" sheetId="4" r:id="rId7"/>
    <sheet name="SKLO" sheetId="5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D45" i="1"/>
  <c r="F44" i="1"/>
  <c r="E44" i="1"/>
  <c r="D44" i="1"/>
  <c r="B44" i="1"/>
  <c r="G44" i="1" s="1"/>
  <c r="J43" i="1"/>
  <c r="I43" i="1"/>
  <c r="H43" i="1"/>
  <c r="E43" i="1"/>
  <c r="D43" i="1"/>
  <c r="B43" i="1"/>
  <c r="J42" i="1"/>
  <c r="I42" i="1"/>
  <c r="H42" i="1"/>
  <c r="E42" i="1"/>
  <c r="F42" i="1" s="1"/>
  <c r="G42" i="1" s="1"/>
  <c r="D42" i="1"/>
  <c r="B42" i="1"/>
  <c r="J41" i="1"/>
  <c r="I41" i="1"/>
  <c r="H41" i="1"/>
  <c r="E41" i="1"/>
  <c r="D41" i="1"/>
  <c r="B41" i="1"/>
  <c r="J40" i="1"/>
  <c r="I40" i="1"/>
  <c r="H40" i="1"/>
  <c r="E40" i="1"/>
  <c r="D40" i="1"/>
  <c r="B40" i="1"/>
  <c r="J39" i="1"/>
  <c r="I39" i="1"/>
  <c r="H39" i="1"/>
  <c r="E39" i="1"/>
  <c r="F39" i="1" s="1"/>
  <c r="G39" i="1" s="1"/>
  <c r="D39" i="1"/>
  <c r="B39" i="1"/>
  <c r="J38" i="1"/>
  <c r="I38" i="1"/>
  <c r="H38" i="1"/>
  <c r="E38" i="1"/>
  <c r="D38" i="1"/>
  <c r="B38" i="1"/>
  <c r="J37" i="1"/>
  <c r="I37" i="1"/>
  <c r="H37" i="1"/>
  <c r="E37" i="1"/>
  <c r="D37" i="1"/>
  <c r="B37" i="1"/>
  <c r="J36" i="1"/>
  <c r="I36" i="1"/>
  <c r="H36" i="1"/>
  <c r="E36" i="1"/>
  <c r="F36" i="1" s="1"/>
  <c r="G36" i="1" s="1"/>
  <c r="D36" i="1"/>
  <c r="B36" i="1"/>
  <c r="J35" i="1"/>
  <c r="I35" i="1"/>
  <c r="H35" i="1"/>
  <c r="E35" i="1"/>
  <c r="D35" i="1"/>
  <c r="B35" i="1"/>
  <c r="J34" i="1"/>
  <c r="I34" i="1"/>
  <c r="H34" i="1"/>
  <c r="E34" i="1"/>
  <c r="D34" i="1"/>
  <c r="B34" i="1"/>
  <c r="J33" i="1"/>
  <c r="I33" i="1"/>
  <c r="H33" i="1"/>
  <c r="E33" i="1"/>
  <c r="F33" i="1" s="1"/>
  <c r="G33" i="1" s="1"/>
  <c r="D33" i="1"/>
  <c r="B33" i="1"/>
  <c r="J32" i="1"/>
  <c r="I32" i="1"/>
  <c r="H32" i="1"/>
  <c r="E32" i="1"/>
  <c r="D32" i="1"/>
  <c r="B32" i="1"/>
  <c r="J31" i="1"/>
  <c r="I31" i="1"/>
  <c r="H31" i="1"/>
  <c r="E31" i="1"/>
  <c r="D31" i="1"/>
  <c r="B31" i="1"/>
  <c r="J30" i="1"/>
  <c r="I30" i="1"/>
  <c r="H30" i="1"/>
  <c r="E30" i="1"/>
  <c r="F30" i="1" s="1"/>
  <c r="G30" i="1" s="1"/>
  <c r="D30" i="1"/>
  <c r="B30" i="1"/>
  <c r="J29" i="1"/>
  <c r="I29" i="1"/>
  <c r="H29" i="1"/>
  <c r="E29" i="1"/>
  <c r="D29" i="1"/>
  <c r="B29" i="1"/>
  <c r="J28" i="1"/>
  <c r="I28" i="1"/>
  <c r="H28" i="1"/>
  <c r="E28" i="1"/>
  <c r="D28" i="1"/>
  <c r="B28" i="1"/>
  <c r="J27" i="1"/>
  <c r="I27" i="1"/>
  <c r="H27" i="1"/>
  <c r="E27" i="1"/>
  <c r="F27" i="1" s="1"/>
  <c r="G27" i="1" s="1"/>
  <c r="D27" i="1"/>
  <c r="B27" i="1"/>
  <c r="J26" i="1"/>
  <c r="I26" i="1"/>
  <c r="H26" i="1"/>
  <c r="E26" i="1"/>
  <c r="D26" i="1"/>
  <c r="B26" i="1"/>
  <c r="J25" i="1"/>
  <c r="I25" i="1"/>
  <c r="H25" i="1"/>
  <c r="E25" i="1"/>
  <c r="D25" i="1"/>
  <c r="B25" i="1"/>
  <c r="J24" i="1"/>
  <c r="I24" i="1"/>
  <c r="H24" i="1"/>
  <c r="E24" i="1"/>
  <c r="F24" i="1" s="1"/>
  <c r="G24" i="1" s="1"/>
  <c r="D24" i="1"/>
  <c r="B24" i="1"/>
  <c r="J23" i="1"/>
  <c r="I23" i="1"/>
  <c r="H23" i="1"/>
  <c r="E23" i="1"/>
  <c r="D23" i="1"/>
  <c r="B23" i="1"/>
  <c r="J22" i="1"/>
  <c r="I22" i="1"/>
  <c r="H22" i="1"/>
  <c r="E22" i="1"/>
  <c r="D22" i="1"/>
  <c r="B22" i="1"/>
  <c r="J21" i="1"/>
  <c r="I21" i="1"/>
  <c r="H21" i="1"/>
  <c r="E21" i="1"/>
  <c r="F21" i="1" s="1"/>
  <c r="G21" i="1" s="1"/>
  <c r="D21" i="1"/>
  <c r="B21" i="1"/>
  <c r="J20" i="1"/>
  <c r="I20" i="1"/>
  <c r="H20" i="1"/>
  <c r="E20" i="1"/>
  <c r="D20" i="1"/>
  <c r="B20" i="1"/>
  <c r="J19" i="1"/>
  <c r="I19" i="1"/>
  <c r="H19" i="1"/>
  <c r="E19" i="1"/>
  <c r="D19" i="1"/>
  <c r="B19" i="1"/>
  <c r="J18" i="1"/>
  <c r="I18" i="1"/>
  <c r="H18" i="1"/>
  <c r="E18" i="1"/>
  <c r="F18" i="1" s="1"/>
  <c r="G18" i="1" s="1"/>
  <c r="D18" i="1"/>
  <c r="B18" i="1"/>
  <c r="J17" i="1"/>
  <c r="I17" i="1"/>
  <c r="H17" i="1"/>
  <c r="E17" i="1"/>
  <c r="D17" i="1"/>
  <c r="B17" i="1"/>
  <c r="J16" i="1"/>
  <c r="I16" i="1"/>
  <c r="H16" i="1"/>
  <c r="E16" i="1"/>
  <c r="D16" i="1"/>
  <c r="B16" i="1"/>
  <c r="J15" i="1"/>
  <c r="I15" i="1"/>
  <c r="H15" i="1"/>
  <c r="E15" i="1"/>
  <c r="F15" i="1" s="1"/>
  <c r="G15" i="1" s="1"/>
  <c r="D15" i="1"/>
  <c r="B15" i="1"/>
  <c r="J14" i="1"/>
  <c r="I14" i="1"/>
  <c r="H14" i="1"/>
  <c r="E14" i="1"/>
  <c r="D14" i="1"/>
  <c r="B14" i="1"/>
  <c r="J13" i="1"/>
  <c r="I13" i="1"/>
  <c r="H13" i="1"/>
  <c r="E13" i="1"/>
  <c r="D13" i="1"/>
  <c r="B13" i="1"/>
  <c r="J12" i="1"/>
  <c r="I12" i="1"/>
  <c r="H12" i="1"/>
  <c r="E12" i="1"/>
  <c r="F12" i="1" s="1"/>
  <c r="G12" i="1" s="1"/>
  <c r="D12" i="1"/>
  <c r="B12" i="1"/>
  <c r="J11" i="1"/>
  <c r="I11" i="1"/>
  <c r="H11" i="1"/>
  <c r="E11" i="1"/>
  <c r="D11" i="1"/>
  <c r="B11" i="1"/>
  <c r="J10" i="1"/>
  <c r="I10" i="1"/>
  <c r="H10" i="1"/>
  <c r="E10" i="1"/>
  <c r="D10" i="1"/>
  <c r="B10" i="1"/>
  <c r="J9" i="1"/>
  <c r="I9" i="1"/>
  <c r="H9" i="1"/>
  <c r="E9" i="1"/>
  <c r="F9" i="1" s="1"/>
  <c r="G9" i="1" s="1"/>
  <c r="D9" i="1"/>
  <c r="B9" i="1"/>
  <c r="J8" i="1"/>
  <c r="I8" i="1"/>
  <c r="H8" i="1"/>
  <c r="E8" i="1"/>
  <c r="D8" i="1"/>
  <c r="B8" i="1"/>
  <c r="F7" i="1"/>
  <c r="E7" i="1"/>
  <c r="D7" i="1"/>
  <c r="B5" i="1"/>
  <c r="B7" i="1" s="1"/>
  <c r="G7" i="1" s="1"/>
  <c r="B3" i="1"/>
  <c r="E2" i="1"/>
  <c r="F45" i="1" s="1"/>
  <c r="G45" i="1" s="1"/>
  <c r="F53" i="8"/>
  <c r="E53" i="8"/>
  <c r="D53" i="8"/>
  <c r="G53" i="8" s="1"/>
  <c r="C53" i="8"/>
  <c r="E52" i="8"/>
  <c r="F52" i="8" s="1"/>
  <c r="G52" i="8" s="1"/>
  <c r="D52" i="8"/>
  <c r="C52" i="8"/>
  <c r="L50" i="8"/>
  <c r="E50" i="8"/>
  <c r="F50" i="8" s="1"/>
  <c r="G50" i="8" s="1"/>
  <c r="D50" i="8"/>
  <c r="L49" i="8"/>
  <c r="F49" i="8"/>
  <c r="G49" i="8" s="1"/>
  <c r="E49" i="8"/>
  <c r="D49" i="8"/>
  <c r="L48" i="8"/>
  <c r="F48" i="8"/>
  <c r="G48" i="8" s="1"/>
  <c r="E48" i="8"/>
  <c r="D48" i="8"/>
  <c r="L47" i="8"/>
  <c r="F47" i="8"/>
  <c r="G47" i="8" s="1"/>
  <c r="E47" i="8"/>
  <c r="D47" i="8"/>
  <c r="L46" i="8"/>
  <c r="F46" i="8"/>
  <c r="G46" i="8" s="1"/>
  <c r="E46" i="8"/>
  <c r="D46" i="8"/>
  <c r="L45" i="8"/>
  <c r="F45" i="8"/>
  <c r="G45" i="8" s="1"/>
  <c r="E45" i="8"/>
  <c r="D45" i="8"/>
  <c r="L44" i="8"/>
  <c r="G44" i="8"/>
  <c r="F44" i="8"/>
  <c r="E44" i="8"/>
  <c r="D44" i="8"/>
  <c r="L43" i="8"/>
  <c r="E43" i="8"/>
  <c r="F43" i="8" s="1"/>
  <c r="G43" i="8" s="1"/>
  <c r="D43" i="8"/>
  <c r="L42" i="8"/>
  <c r="E42" i="8"/>
  <c r="F42" i="8" s="1"/>
  <c r="G42" i="8" s="1"/>
  <c r="D42" i="8"/>
  <c r="L41" i="8"/>
  <c r="E41" i="8"/>
  <c r="F41" i="8" s="1"/>
  <c r="G41" i="8" s="1"/>
  <c r="D41" i="8"/>
  <c r="L40" i="8"/>
  <c r="E40" i="8"/>
  <c r="F40" i="8" s="1"/>
  <c r="G40" i="8" s="1"/>
  <c r="D40" i="8"/>
  <c r="L39" i="8"/>
  <c r="E39" i="8"/>
  <c r="F39" i="8" s="1"/>
  <c r="G39" i="8" s="1"/>
  <c r="D39" i="8"/>
  <c r="L38" i="8"/>
  <c r="E38" i="8"/>
  <c r="F38" i="8" s="1"/>
  <c r="G38" i="8" s="1"/>
  <c r="D38" i="8"/>
  <c r="L37" i="8"/>
  <c r="F37" i="8"/>
  <c r="G37" i="8" s="1"/>
  <c r="E37" i="8"/>
  <c r="D37" i="8"/>
  <c r="L36" i="8"/>
  <c r="F36" i="8"/>
  <c r="G36" i="8" s="1"/>
  <c r="E36" i="8"/>
  <c r="D36" i="8"/>
  <c r="L35" i="8"/>
  <c r="F35" i="8"/>
  <c r="G35" i="8" s="1"/>
  <c r="E35" i="8"/>
  <c r="D35" i="8"/>
  <c r="L34" i="8"/>
  <c r="F34" i="8"/>
  <c r="G34" i="8" s="1"/>
  <c r="E34" i="8"/>
  <c r="D34" i="8"/>
  <c r="L33" i="8"/>
  <c r="F33" i="8"/>
  <c r="G33" i="8" s="1"/>
  <c r="E33" i="8"/>
  <c r="D33" i="8"/>
  <c r="L32" i="8"/>
  <c r="G32" i="8"/>
  <c r="F32" i="8"/>
  <c r="E32" i="8"/>
  <c r="D32" i="8"/>
  <c r="L31" i="8"/>
  <c r="E31" i="8"/>
  <c r="F31" i="8" s="1"/>
  <c r="G31" i="8" s="1"/>
  <c r="D31" i="8"/>
  <c r="L30" i="8"/>
  <c r="E30" i="8"/>
  <c r="F30" i="8" s="1"/>
  <c r="G30" i="8" s="1"/>
  <c r="D30" i="8"/>
  <c r="L29" i="8"/>
  <c r="E29" i="8"/>
  <c r="F29" i="8" s="1"/>
  <c r="G29" i="8" s="1"/>
  <c r="D29" i="8"/>
  <c r="L28" i="8"/>
  <c r="E28" i="8"/>
  <c r="F28" i="8" s="1"/>
  <c r="G28" i="8" s="1"/>
  <c r="D28" i="8"/>
  <c r="L27" i="8"/>
  <c r="E27" i="8"/>
  <c r="F27" i="8" s="1"/>
  <c r="G27" i="8" s="1"/>
  <c r="D27" i="8"/>
  <c r="L26" i="8"/>
  <c r="E26" i="8"/>
  <c r="F26" i="8" s="1"/>
  <c r="G26" i="8" s="1"/>
  <c r="D26" i="8"/>
  <c r="L25" i="8"/>
  <c r="F25" i="8"/>
  <c r="G25" i="8" s="1"/>
  <c r="E25" i="8"/>
  <c r="D25" i="8"/>
  <c r="L24" i="8"/>
  <c r="F24" i="8"/>
  <c r="G24" i="8" s="1"/>
  <c r="E24" i="8"/>
  <c r="D24" i="8"/>
  <c r="L23" i="8"/>
  <c r="F23" i="8"/>
  <c r="G23" i="8" s="1"/>
  <c r="E23" i="8"/>
  <c r="D23" i="8"/>
  <c r="L22" i="8"/>
  <c r="F22" i="8"/>
  <c r="G22" i="8" s="1"/>
  <c r="E22" i="8"/>
  <c r="D22" i="8"/>
  <c r="L21" i="8"/>
  <c r="F21" i="8"/>
  <c r="G21" i="8" s="1"/>
  <c r="E21" i="8"/>
  <c r="D21" i="8"/>
  <c r="L20" i="8"/>
  <c r="G20" i="8"/>
  <c r="F20" i="8"/>
  <c r="E20" i="8"/>
  <c r="D20" i="8"/>
  <c r="L19" i="8"/>
  <c r="E19" i="8"/>
  <c r="F19" i="8" s="1"/>
  <c r="G19" i="8" s="1"/>
  <c r="D19" i="8"/>
  <c r="L18" i="8"/>
  <c r="E18" i="8"/>
  <c r="F18" i="8" s="1"/>
  <c r="G18" i="8" s="1"/>
  <c r="D18" i="8"/>
  <c r="L17" i="8"/>
  <c r="E17" i="8"/>
  <c r="F17" i="8" s="1"/>
  <c r="G17" i="8" s="1"/>
  <c r="D17" i="8"/>
  <c r="L16" i="8"/>
  <c r="E16" i="8"/>
  <c r="F16" i="8" s="1"/>
  <c r="G16" i="8" s="1"/>
  <c r="D16" i="8"/>
  <c r="L15" i="8"/>
  <c r="E15" i="8"/>
  <c r="F15" i="8" s="1"/>
  <c r="G15" i="8" s="1"/>
  <c r="D15" i="8"/>
  <c r="E14" i="8"/>
  <c r="F14" i="8" s="1"/>
  <c r="D14" i="8"/>
  <c r="G14" i="8" s="1"/>
  <c r="B14" i="8"/>
  <c r="E13" i="8"/>
  <c r="F13" i="8" s="1"/>
  <c r="G13" i="8" s="1"/>
  <c r="D13" i="8"/>
  <c r="B13" i="8"/>
  <c r="B4" i="8"/>
  <c r="E2" i="8"/>
  <c r="F41" i="6"/>
  <c r="E41" i="6"/>
  <c r="D41" i="6"/>
  <c r="G41" i="6" s="1"/>
  <c r="C41" i="6"/>
  <c r="G40" i="6"/>
  <c r="F40" i="6"/>
  <c r="E40" i="6"/>
  <c r="D40" i="6"/>
  <c r="C40" i="6"/>
  <c r="L38" i="6"/>
  <c r="E38" i="6"/>
  <c r="F38" i="6" s="1"/>
  <c r="G38" i="6" s="1"/>
  <c r="D38" i="6"/>
  <c r="L37" i="6"/>
  <c r="F37" i="6"/>
  <c r="G37" i="6" s="1"/>
  <c r="E37" i="6"/>
  <c r="D37" i="6"/>
  <c r="L36" i="6"/>
  <c r="F36" i="6"/>
  <c r="G36" i="6" s="1"/>
  <c r="E36" i="6"/>
  <c r="D36" i="6"/>
  <c r="L35" i="6"/>
  <c r="F35" i="6"/>
  <c r="G35" i="6" s="1"/>
  <c r="E35" i="6"/>
  <c r="D35" i="6"/>
  <c r="L34" i="6"/>
  <c r="F34" i="6"/>
  <c r="G34" i="6" s="1"/>
  <c r="E34" i="6"/>
  <c r="D34" i="6"/>
  <c r="L33" i="6"/>
  <c r="F33" i="6"/>
  <c r="G33" i="6" s="1"/>
  <c r="E33" i="6"/>
  <c r="D33" i="6"/>
  <c r="L32" i="6"/>
  <c r="G32" i="6"/>
  <c r="F32" i="6"/>
  <c r="E32" i="6"/>
  <c r="D32" i="6"/>
  <c r="L31" i="6"/>
  <c r="E31" i="6"/>
  <c r="F31" i="6" s="1"/>
  <c r="G31" i="6" s="1"/>
  <c r="D31" i="6"/>
  <c r="L30" i="6"/>
  <c r="E30" i="6"/>
  <c r="F30" i="6" s="1"/>
  <c r="G30" i="6" s="1"/>
  <c r="D30" i="6"/>
  <c r="L29" i="6"/>
  <c r="E29" i="6"/>
  <c r="F29" i="6" s="1"/>
  <c r="G29" i="6" s="1"/>
  <c r="D29" i="6"/>
  <c r="L28" i="6"/>
  <c r="E28" i="6"/>
  <c r="F28" i="6" s="1"/>
  <c r="G28" i="6" s="1"/>
  <c r="D28" i="6"/>
  <c r="L27" i="6"/>
  <c r="E27" i="6"/>
  <c r="F27" i="6" s="1"/>
  <c r="G27" i="6" s="1"/>
  <c r="D27" i="6"/>
  <c r="L26" i="6"/>
  <c r="E26" i="6"/>
  <c r="F26" i="6" s="1"/>
  <c r="G26" i="6" s="1"/>
  <c r="D26" i="6"/>
  <c r="L25" i="6"/>
  <c r="F25" i="6"/>
  <c r="G25" i="6" s="1"/>
  <c r="E25" i="6"/>
  <c r="D25" i="6"/>
  <c r="L24" i="6"/>
  <c r="F24" i="6"/>
  <c r="G24" i="6" s="1"/>
  <c r="E24" i="6"/>
  <c r="D24" i="6"/>
  <c r="L23" i="6"/>
  <c r="F23" i="6"/>
  <c r="G23" i="6" s="1"/>
  <c r="E23" i="6"/>
  <c r="D23" i="6"/>
  <c r="L22" i="6"/>
  <c r="F22" i="6"/>
  <c r="G22" i="6" s="1"/>
  <c r="E22" i="6"/>
  <c r="D22" i="6"/>
  <c r="L21" i="6"/>
  <c r="F21" i="6"/>
  <c r="G21" i="6" s="1"/>
  <c r="E21" i="6"/>
  <c r="D21" i="6"/>
  <c r="L20" i="6"/>
  <c r="G20" i="6"/>
  <c r="F20" i="6"/>
  <c r="E20" i="6"/>
  <c r="D20" i="6"/>
  <c r="L19" i="6"/>
  <c r="E19" i="6"/>
  <c r="F19" i="6" s="1"/>
  <c r="G19" i="6" s="1"/>
  <c r="D19" i="6"/>
  <c r="L18" i="6"/>
  <c r="E18" i="6"/>
  <c r="F18" i="6" s="1"/>
  <c r="G18" i="6" s="1"/>
  <c r="D18" i="6"/>
  <c r="L17" i="6"/>
  <c r="E17" i="6"/>
  <c r="F17" i="6" s="1"/>
  <c r="G17" i="6" s="1"/>
  <c r="D17" i="6"/>
  <c r="L16" i="6"/>
  <c r="E16" i="6"/>
  <c r="F16" i="6" s="1"/>
  <c r="G16" i="6" s="1"/>
  <c r="D16" i="6"/>
  <c r="L15" i="6"/>
  <c r="E15" i="6"/>
  <c r="F15" i="6" s="1"/>
  <c r="G15" i="6" s="1"/>
  <c r="D15" i="6"/>
  <c r="D14" i="6"/>
  <c r="G14" i="6" s="1"/>
  <c r="B14" i="6"/>
  <c r="E14" i="6" s="1"/>
  <c r="F14" i="6" s="1"/>
  <c r="E13" i="6"/>
  <c r="F13" i="6" s="1"/>
  <c r="G13" i="6" s="1"/>
  <c r="D13" i="6"/>
  <c r="B13" i="6"/>
  <c r="B4" i="6"/>
  <c r="E2" i="6"/>
  <c r="F53" i="7"/>
  <c r="E53" i="7"/>
  <c r="D53" i="7"/>
  <c r="G53" i="7" s="1"/>
  <c r="C53" i="7"/>
  <c r="G52" i="7"/>
  <c r="F52" i="7"/>
  <c r="E52" i="7"/>
  <c r="D52" i="7"/>
  <c r="C52" i="7"/>
  <c r="L50" i="7"/>
  <c r="E50" i="7"/>
  <c r="F50" i="7" s="1"/>
  <c r="G50" i="7" s="1"/>
  <c r="D50" i="7"/>
  <c r="L49" i="7"/>
  <c r="F49" i="7"/>
  <c r="G49" i="7" s="1"/>
  <c r="E49" i="7"/>
  <c r="D49" i="7"/>
  <c r="L48" i="7"/>
  <c r="F48" i="7"/>
  <c r="G48" i="7" s="1"/>
  <c r="E48" i="7"/>
  <c r="D48" i="7"/>
  <c r="L47" i="7"/>
  <c r="F47" i="7"/>
  <c r="G47" i="7" s="1"/>
  <c r="E47" i="7"/>
  <c r="D47" i="7"/>
  <c r="L46" i="7"/>
  <c r="F46" i="7"/>
  <c r="G46" i="7" s="1"/>
  <c r="E46" i="7"/>
  <c r="D46" i="7"/>
  <c r="L45" i="7"/>
  <c r="F45" i="7"/>
  <c r="G45" i="7" s="1"/>
  <c r="E45" i="7"/>
  <c r="D45" i="7"/>
  <c r="L44" i="7"/>
  <c r="G44" i="7"/>
  <c r="F44" i="7"/>
  <c r="E44" i="7"/>
  <c r="D44" i="7"/>
  <c r="L43" i="7"/>
  <c r="E43" i="7"/>
  <c r="F43" i="7" s="1"/>
  <c r="G43" i="7" s="1"/>
  <c r="D43" i="7"/>
  <c r="L42" i="7"/>
  <c r="E42" i="7"/>
  <c r="F42" i="7" s="1"/>
  <c r="G42" i="7" s="1"/>
  <c r="D42" i="7"/>
  <c r="L41" i="7"/>
  <c r="E41" i="7"/>
  <c r="F41" i="7" s="1"/>
  <c r="G41" i="7" s="1"/>
  <c r="D41" i="7"/>
  <c r="L40" i="7"/>
  <c r="E40" i="7"/>
  <c r="F40" i="7" s="1"/>
  <c r="G40" i="7" s="1"/>
  <c r="D40" i="7"/>
  <c r="L39" i="7"/>
  <c r="E39" i="7"/>
  <c r="F39" i="7" s="1"/>
  <c r="G39" i="7" s="1"/>
  <c r="D39" i="7"/>
  <c r="L38" i="7"/>
  <c r="E38" i="7"/>
  <c r="F38" i="7" s="1"/>
  <c r="G38" i="7" s="1"/>
  <c r="D38" i="7"/>
  <c r="L37" i="7"/>
  <c r="F37" i="7"/>
  <c r="G37" i="7" s="1"/>
  <c r="E37" i="7"/>
  <c r="D37" i="7"/>
  <c r="L36" i="7"/>
  <c r="F36" i="7"/>
  <c r="G36" i="7" s="1"/>
  <c r="E36" i="7"/>
  <c r="D36" i="7"/>
  <c r="L35" i="7"/>
  <c r="F35" i="7"/>
  <c r="G35" i="7" s="1"/>
  <c r="E35" i="7"/>
  <c r="D35" i="7"/>
  <c r="L34" i="7"/>
  <c r="F34" i="7"/>
  <c r="G34" i="7" s="1"/>
  <c r="E34" i="7"/>
  <c r="D34" i="7"/>
  <c r="L33" i="7"/>
  <c r="F33" i="7"/>
  <c r="G33" i="7" s="1"/>
  <c r="E33" i="7"/>
  <c r="D33" i="7"/>
  <c r="L32" i="7"/>
  <c r="G32" i="7"/>
  <c r="F32" i="7"/>
  <c r="E32" i="7"/>
  <c r="D32" i="7"/>
  <c r="L31" i="7"/>
  <c r="E31" i="7"/>
  <c r="F31" i="7" s="1"/>
  <c r="G31" i="7" s="1"/>
  <c r="D31" i="7"/>
  <c r="L30" i="7"/>
  <c r="E30" i="7"/>
  <c r="F30" i="7" s="1"/>
  <c r="G30" i="7" s="1"/>
  <c r="D30" i="7"/>
  <c r="L29" i="7"/>
  <c r="E29" i="7"/>
  <c r="F29" i="7" s="1"/>
  <c r="G29" i="7" s="1"/>
  <c r="D29" i="7"/>
  <c r="L28" i="7"/>
  <c r="E28" i="7"/>
  <c r="F28" i="7" s="1"/>
  <c r="G28" i="7" s="1"/>
  <c r="D28" i="7"/>
  <c r="L27" i="7"/>
  <c r="E27" i="7"/>
  <c r="F27" i="7" s="1"/>
  <c r="G27" i="7" s="1"/>
  <c r="D27" i="7"/>
  <c r="L26" i="7"/>
  <c r="E26" i="7"/>
  <c r="F26" i="7" s="1"/>
  <c r="G26" i="7" s="1"/>
  <c r="D26" i="7"/>
  <c r="L25" i="7"/>
  <c r="F25" i="7"/>
  <c r="G25" i="7" s="1"/>
  <c r="E25" i="7"/>
  <c r="D25" i="7"/>
  <c r="L24" i="7"/>
  <c r="F24" i="7"/>
  <c r="G24" i="7" s="1"/>
  <c r="E24" i="7"/>
  <c r="D24" i="7"/>
  <c r="L23" i="7"/>
  <c r="F23" i="7"/>
  <c r="G23" i="7" s="1"/>
  <c r="E23" i="7"/>
  <c r="D23" i="7"/>
  <c r="L22" i="7"/>
  <c r="F22" i="7"/>
  <c r="G22" i="7" s="1"/>
  <c r="E22" i="7"/>
  <c r="D22" i="7"/>
  <c r="L21" i="7"/>
  <c r="F21" i="7"/>
  <c r="G21" i="7" s="1"/>
  <c r="E21" i="7"/>
  <c r="D21" i="7"/>
  <c r="L20" i="7"/>
  <c r="G20" i="7"/>
  <c r="F20" i="7"/>
  <c r="E20" i="7"/>
  <c r="D20" i="7"/>
  <c r="L19" i="7"/>
  <c r="E19" i="7"/>
  <c r="F19" i="7" s="1"/>
  <c r="G19" i="7" s="1"/>
  <c r="D19" i="7"/>
  <c r="L18" i="7"/>
  <c r="E18" i="7"/>
  <c r="F18" i="7" s="1"/>
  <c r="G18" i="7" s="1"/>
  <c r="D18" i="7"/>
  <c r="L17" i="7"/>
  <c r="E17" i="7"/>
  <c r="F17" i="7" s="1"/>
  <c r="G17" i="7" s="1"/>
  <c r="D17" i="7"/>
  <c r="L16" i="7"/>
  <c r="E16" i="7"/>
  <c r="F16" i="7" s="1"/>
  <c r="G16" i="7" s="1"/>
  <c r="D16" i="7"/>
  <c r="L15" i="7"/>
  <c r="E15" i="7"/>
  <c r="F15" i="7" s="1"/>
  <c r="G15" i="7" s="1"/>
  <c r="D15" i="7"/>
  <c r="D14" i="7"/>
  <c r="B14" i="7"/>
  <c r="E14" i="7" s="1"/>
  <c r="F14" i="7" s="1"/>
  <c r="E13" i="7"/>
  <c r="F13" i="7" s="1"/>
  <c r="G13" i="7" s="1"/>
  <c r="D13" i="7"/>
  <c r="B13" i="7"/>
  <c r="B4" i="7"/>
  <c r="E2" i="7"/>
  <c r="G29" i="1" l="1"/>
  <c r="G35" i="1"/>
  <c r="G41" i="1"/>
  <c r="G10" i="1"/>
  <c r="G13" i="1"/>
  <c r="G31" i="1"/>
  <c r="G54" i="8"/>
  <c r="D5" i="8" s="1"/>
  <c r="G43" i="1"/>
  <c r="G54" i="7"/>
  <c r="D5" i="7" s="1"/>
  <c r="G8" i="1"/>
  <c r="G32" i="1"/>
  <c r="G42" i="6"/>
  <c r="D5" i="6" s="1"/>
  <c r="G34" i="1"/>
  <c r="G14" i="7"/>
  <c r="F8" i="1"/>
  <c r="F11" i="1"/>
  <c r="G11" i="1" s="1"/>
  <c r="F14" i="1"/>
  <c r="G14" i="1" s="1"/>
  <c r="F17" i="1"/>
  <c r="G17" i="1" s="1"/>
  <c r="F20" i="1"/>
  <c r="G20" i="1" s="1"/>
  <c r="F23" i="1"/>
  <c r="G23" i="1" s="1"/>
  <c r="F26" i="1"/>
  <c r="G26" i="1" s="1"/>
  <c r="F29" i="1"/>
  <c r="F32" i="1"/>
  <c r="F35" i="1"/>
  <c r="F38" i="1"/>
  <c r="G38" i="1" s="1"/>
  <c r="F41" i="1"/>
  <c r="F10" i="1"/>
  <c r="F13" i="1"/>
  <c r="F16" i="1"/>
  <c r="G16" i="1" s="1"/>
  <c r="F19" i="1"/>
  <c r="G19" i="1" s="1"/>
  <c r="F22" i="1"/>
  <c r="G22" i="1" s="1"/>
  <c r="F25" i="1"/>
  <c r="G25" i="1" s="1"/>
  <c r="F28" i="1"/>
  <c r="G28" i="1" s="1"/>
  <c r="F31" i="1"/>
  <c r="F34" i="1"/>
  <c r="F37" i="1"/>
  <c r="G37" i="1" s="1"/>
  <c r="F40" i="1"/>
  <c r="G40" i="1" s="1"/>
  <c r="F43" i="1"/>
  <c r="G46" i="1" l="1"/>
  <c r="D4" i="1" s="1"/>
</calcChain>
</file>

<file path=xl/sharedStrings.xml><?xml version="1.0" encoding="utf-8"?>
<sst xmlns="http://schemas.openxmlformats.org/spreadsheetml/2006/main" count="1939" uniqueCount="314">
  <si>
    <t>Parametry smlouvy:</t>
  </si>
  <si>
    <t>Onecore 20 k 25.11.2022</t>
  </si>
  <si>
    <t>Smlouva:</t>
  </si>
  <si>
    <t>Délka</t>
  </si>
  <si>
    <t>RPSN %</t>
  </si>
  <si>
    <t>Vstupní cena (fin. leasing) vč. DPH</t>
  </si>
  <si>
    <t xml:space="preserve">RPSN % z BC </t>
  </si>
  <si>
    <t>Datum předání</t>
  </si>
  <si>
    <t>Kontrolní rozdíl</t>
  </si>
  <si>
    <t>Poplatek na začátku vč. DPH</t>
  </si>
  <si>
    <t>Pojištění do RPSN</t>
  </si>
  <si>
    <t>Splátkový kalendář:</t>
  </si>
  <si>
    <t>Splátka vč. DPH</t>
  </si>
  <si>
    <t>Počet dnů</t>
  </si>
  <si>
    <t>Koeficient odúročení</t>
  </si>
  <si>
    <t>Odúročené cash-flov</t>
  </si>
  <si>
    <t>PZP</t>
  </si>
  <si>
    <t>KASKO</t>
  </si>
  <si>
    <t>ČELNÉ_SKLO</t>
  </si>
  <si>
    <t>Poplatek na začátku+akontace vč. DPH</t>
  </si>
  <si>
    <t>PC</t>
  </si>
  <si>
    <t>Poplatek na konci</t>
  </si>
  <si>
    <t>Celkem</t>
  </si>
  <si>
    <t>Postup simulace:</t>
  </si>
  <si>
    <t>použít ceny včetně DPH</t>
  </si>
  <si>
    <t xml:space="preserve">naplnit vstupní cenu a částku poplatku (vč. DPH) v hlavičce (B3,B5) </t>
  </si>
  <si>
    <t>naplnit Datum předání předmětu (B4)</t>
  </si>
  <si>
    <t>naplnit kalendář splátek bez pojištění (sloupec B) včetně DPH</t>
  </si>
  <si>
    <t>naplnit kalendáře pojistek, které mají na produktu zatrženo "Vstupuje do RPSN (Included in APR) včetně DPH (pokud je) - sloupce H,I,J</t>
  </si>
  <si>
    <t>doplnit Data splatnosti splátek (Due date) - sloupec C</t>
  </si>
  <si>
    <t>zkontrolovat výpočet počtu dnů pro odúročení - sloupec E (Due Date - Handover date)</t>
  </si>
  <si>
    <t>Zkontrolovat výpočet koeficientu odúročení v sloupci F (odvozený od simulovaného úroku v poli E2)</t>
  </si>
  <si>
    <t>Zkontrolovat výpočet odúročené částky (splátky vč. DPH * koeficient)</t>
  </si>
  <si>
    <t>Zkontrolovat součet odúročených částek</t>
  </si>
  <si>
    <t>Míra správnosti je ve výšce rozdílu vstupní ceny vč. DPH a sumy odúročených částek SPK (pole D4), který (rozdíl) má být nulový</t>
  </si>
  <si>
    <t>Změnou úrokové míry v poli D2 (iterace) dosáhnout minimálního rozdílu  v poli D4 - v tom případě odpovídá % v poli D2 hodnotě RPSN</t>
  </si>
  <si>
    <t>SPK z BC</t>
  </si>
  <si>
    <t>Číslo splátky</t>
  </si>
  <si>
    <t>Datum od</t>
  </si>
  <si>
    <t>Do datumu</t>
  </si>
  <si>
    <t>Zúčtovací datum</t>
  </si>
  <si>
    <t>Datum DPH</t>
  </si>
  <si>
    <t>Datum splatnosti</t>
  </si>
  <si>
    <t>Číslo dokladu</t>
  </si>
  <si>
    <t>Hromadná fakturace</t>
  </si>
  <si>
    <t>Účtováno</t>
  </si>
  <si>
    <t>Stornováno</t>
  </si>
  <si>
    <t>Nezaúčtovaný dobropis</t>
  </si>
  <si>
    <t>Prodloužení smlouvy</t>
  </si>
  <si>
    <t>Rekalkulační vyrovnání</t>
  </si>
  <si>
    <t>Částečný dobropis</t>
  </si>
  <si>
    <t>Individuální daňový doklad</t>
  </si>
  <si>
    <t>Částka</t>
  </si>
  <si>
    <t>Splátka bez DPH</t>
  </si>
  <si>
    <t>Zůstatek splátky</t>
  </si>
  <si>
    <t>Anuita bez DPH</t>
  </si>
  <si>
    <t>Jistina</t>
  </si>
  <si>
    <t>Úrok</t>
  </si>
  <si>
    <t>Částka DPH jistina</t>
  </si>
  <si>
    <t>Částka DPH úrok</t>
  </si>
  <si>
    <t>Pojištění</t>
  </si>
  <si>
    <t>Povinné ručení - částka</t>
  </si>
  <si>
    <t>Havarijní pojištění - částka</t>
  </si>
  <si>
    <t>Jiné pojištění - částka</t>
  </si>
  <si>
    <t>Služby</t>
  </si>
  <si>
    <t>Jednoduchý poplatek</t>
  </si>
  <si>
    <t>Zaokrouhlovací rozdíly</t>
  </si>
  <si>
    <t>Zůstatek jistiny (na začátku)</t>
  </si>
  <si>
    <t>Zůstatek jistiny (po zaplacení)</t>
  </si>
  <si>
    <t>Zůstatek dluhu</t>
  </si>
  <si>
    <t>Zůstatek jistiny</t>
  </si>
  <si>
    <t>Změna pořizovací ceny</t>
  </si>
  <si>
    <t>Základ DPH pro zvláštní režim</t>
  </si>
  <si>
    <t>Částka DPH pro zvláštní režim</t>
  </si>
  <si>
    <t>Prodejní cena</t>
  </si>
  <si>
    <t>Částka DPH prodejní ceny</t>
  </si>
  <si>
    <t>Číslo smlouvy financování</t>
  </si>
  <si>
    <t>Výpočtový úrok % (p.a.)</t>
  </si>
  <si>
    <t>Marže úrok %</t>
  </si>
  <si>
    <t>Marže úroku</t>
  </si>
  <si>
    <t>Celkem bez DPH alikvot</t>
  </si>
  <si>
    <t>Jistina alikvot</t>
  </si>
  <si>
    <t>Úrok alikvot</t>
  </si>
  <si>
    <t>Pojištění alikvot</t>
  </si>
  <si>
    <t>Služby alikvot</t>
  </si>
  <si>
    <t>Obecná účto skupina zboží</t>
  </si>
  <si>
    <t>DPH účto skupina jistina</t>
  </si>
  <si>
    <t>DPH účto skupina Úrok</t>
  </si>
  <si>
    <t>Záloha</t>
  </si>
  <si>
    <t>Počet přiřazených záloh</t>
  </si>
  <si>
    <t>Ne</t>
  </si>
  <si>
    <t>24 870,67</t>
  </si>
  <si>
    <t>20 554,27</t>
  </si>
  <si>
    <t>17 686,35</t>
  </si>
  <si>
    <t>13 486,35</t>
  </si>
  <si>
    <t>4 200,00</t>
  </si>
  <si>
    <t>2 832,13</t>
  </si>
  <si>
    <t>2 867,92</t>
  </si>
  <si>
    <t>1 219,17</t>
  </si>
  <si>
    <t>1 607,08</t>
  </si>
  <si>
    <t>560 000,00</t>
  </si>
  <si>
    <t>550 713,65</t>
  </si>
  <si>
    <t>546 513,65</t>
  </si>
  <si>
    <t>FL000183</t>
  </si>
  <si>
    <t>FIN FL</t>
  </si>
  <si>
    <t>DPH21S</t>
  </si>
  <si>
    <t>13 587,50</t>
  </si>
  <si>
    <t>4 098,85</t>
  </si>
  <si>
    <t>2 853,38</t>
  </si>
  <si>
    <t>537 025,00</t>
  </si>
  <si>
    <t>532 926,15</t>
  </si>
  <si>
    <t>13 689,41</t>
  </si>
  <si>
    <t>3 996,94</t>
  </si>
  <si>
    <t>2 874,78</t>
  </si>
  <si>
    <t>523 233,69</t>
  </si>
  <si>
    <t>519 236,74</t>
  </si>
  <si>
    <t>13 792,08</t>
  </si>
  <si>
    <t>3 894,27</t>
  </si>
  <si>
    <t>2 896,34</t>
  </si>
  <si>
    <t>509 338,94</t>
  </si>
  <si>
    <t>505 444,67</t>
  </si>
  <si>
    <t>13 895,52</t>
  </si>
  <si>
    <t>3 790,83</t>
  </si>
  <si>
    <t>2 918,06</t>
  </si>
  <si>
    <t>495 339,99</t>
  </si>
  <si>
    <t>491 549,15</t>
  </si>
  <si>
    <t>13 999,73</t>
  </si>
  <si>
    <t>3 686,62</t>
  </si>
  <si>
    <t>2 939,94</t>
  </si>
  <si>
    <t>481 236,04</t>
  </si>
  <si>
    <t>477 549,42</t>
  </si>
  <si>
    <t>14 104,73</t>
  </si>
  <si>
    <t>3 581,62</t>
  </si>
  <si>
    <t>2 961,99</t>
  </si>
  <si>
    <t>467 026,31</t>
  </si>
  <si>
    <t>463 444,69</t>
  </si>
  <si>
    <t>14 210,52</t>
  </si>
  <si>
    <t>3 475,83</t>
  </si>
  <si>
    <t>2 984,21</t>
  </si>
  <si>
    <t>452 710,01</t>
  </si>
  <si>
    <t>449 234,17</t>
  </si>
  <si>
    <t>14 317,10</t>
  </si>
  <si>
    <t>3 369,25</t>
  </si>
  <si>
    <t>3 006,59</t>
  </si>
  <si>
    <t>438 286,33</t>
  </si>
  <si>
    <t>434 917,08</t>
  </si>
  <si>
    <t>14 424,47</t>
  </si>
  <si>
    <t>3 261,88</t>
  </si>
  <si>
    <t>3 029,14</t>
  </si>
  <si>
    <t>423 754,48</t>
  </si>
  <si>
    <t>420 492,60</t>
  </si>
  <si>
    <t>14 532,66</t>
  </si>
  <si>
    <t>3 153,69</t>
  </si>
  <si>
    <t>3 051,86</t>
  </si>
  <si>
    <t>409 113,64</t>
  </si>
  <si>
    <t>405 959,94</t>
  </si>
  <si>
    <t>14 641,65</t>
  </si>
  <si>
    <t>3 044,70</t>
  </si>
  <si>
    <t>3 074,75</t>
  </si>
  <si>
    <t>394 362,99</t>
  </si>
  <si>
    <t>391 318,29</t>
  </si>
  <si>
    <t>14 751,46</t>
  </si>
  <si>
    <t>2 934,89</t>
  </si>
  <si>
    <t>3 097,81</t>
  </si>
  <si>
    <t>379 501,72</t>
  </si>
  <si>
    <t>376 566,83</t>
  </si>
  <si>
    <t>14 862,10</t>
  </si>
  <si>
    <t>2 824,25</t>
  </si>
  <si>
    <t>3 121,04</t>
  </si>
  <si>
    <t>364 528,98</t>
  </si>
  <si>
    <t>361 704,73</t>
  </si>
  <si>
    <t>14 973,57</t>
  </si>
  <si>
    <t>2 712,78</t>
  </si>
  <si>
    <t>3 144,45</t>
  </si>
  <si>
    <t>349 443,95</t>
  </si>
  <si>
    <t>346 731,16</t>
  </si>
  <si>
    <t>15 085,87</t>
  </si>
  <si>
    <t>2 600,48</t>
  </si>
  <si>
    <t>3 168,03</t>
  </si>
  <si>
    <t>334 245,78</t>
  </si>
  <si>
    <t>331 645,29</t>
  </si>
  <si>
    <t>15 199,01</t>
  </si>
  <si>
    <t>2 487,34</t>
  </si>
  <si>
    <t>3 191,79</t>
  </si>
  <si>
    <t>318 933,62</t>
  </si>
  <si>
    <t>316 446,28</t>
  </si>
  <si>
    <t>15 313,00</t>
  </si>
  <si>
    <t>2 373,35</t>
  </si>
  <si>
    <t>3 215,73</t>
  </si>
  <si>
    <t>303 506,62</t>
  </si>
  <si>
    <t>301 133,28</t>
  </si>
  <si>
    <t>15 427,85</t>
  </si>
  <si>
    <t>2 258,50</t>
  </si>
  <si>
    <t>3 239,85</t>
  </si>
  <si>
    <t>287 963,92</t>
  </si>
  <si>
    <t>285 705,42</t>
  </si>
  <si>
    <t>15 543,56</t>
  </si>
  <si>
    <t>2 142,79</t>
  </si>
  <si>
    <t>3 264,15</t>
  </si>
  <si>
    <t>272 304,65</t>
  </si>
  <si>
    <t>270 161,86</t>
  </si>
  <si>
    <t>15 660,14</t>
  </si>
  <si>
    <t>2 026,21</t>
  </si>
  <si>
    <t>3 288,63</t>
  </si>
  <si>
    <t>256 527,94</t>
  </si>
  <si>
    <t>254 501,73</t>
  </si>
  <si>
    <t>15 777,59</t>
  </si>
  <si>
    <t>1 908,76</t>
  </si>
  <si>
    <t>3 313,29</t>
  </si>
  <si>
    <t>240 632,90</t>
  </si>
  <si>
    <t>238 724,14</t>
  </si>
  <si>
    <t>15 895,92</t>
  </si>
  <si>
    <t>1 790,43</t>
  </si>
  <si>
    <t>3 338,14</t>
  </si>
  <si>
    <t>224 618,65</t>
  </si>
  <si>
    <t>222 828,22</t>
  </si>
  <si>
    <t>16 015,14</t>
  </si>
  <si>
    <t>1 671,21</t>
  </si>
  <si>
    <t>3 363,18</t>
  </si>
  <si>
    <t>208 484,29</t>
  </si>
  <si>
    <t>206 813,08</t>
  </si>
  <si>
    <t>16 135,25</t>
  </si>
  <si>
    <t>1 551,10</t>
  </si>
  <si>
    <t>3 388,40</t>
  </si>
  <si>
    <t>192 228,92</t>
  </si>
  <si>
    <t>190 677,82</t>
  </si>
  <si>
    <t>16 256,27</t>
  </si>
  <si>
    <t>1 430,08</t>
  </si>
  <si>
    <t>3 413,82</t>
  </si>
  <si>
    <t>175 851,64</t>
  </si>
  <si>
    <t>174 421,56</t>
  </si>
  <si>
    <t>16 378,19</t>
  </si>
  <si>
    <t>1 308,16</t>
  </si>
  <si>
    <t>3 439,42</t>
  </si>
  <si>
    <t>159 351,53</t>
  </si>
  <si>
    <t>158 043,37</t>
  </si>
  <si>
    <t>16 501,03</t>
  </si>
  <si>
    <t>1 185,32</t>
  </si>
  <si>
    <t>3 465,22</t>
  </si>
  <si>
    <t>142 727,66</t>
  </si>
  <si>
    <t>141 542,34</t>
  </si>
  <si>
    <t>16 624,78</t>
  </si>
  <si>
    <t>1 061,57</t>
  </si>
  <si>
    <t>3 491,20</t>
  </si>
  <si>
    <t>125 979,12</t>
  </si>
  <si>
    <t>124 917,56</t>
  </si>
  <si>
    <t>16 749,47</t>
  </si>
  <si>
    <t>3 517,39</t>
  </si>
  <si>
    <t>109 104,97</t>
  </si>
  <si>
    <t>108 168,09</t>
  </si>
  <si>
    <t>16 875,09</t>
  </si>
  <si>
    <t>3 543,77</t>
  </si>
  <si>
    <t>92 104,25</t>
  </si>
  <si>
    <t>91 292,99</t>
  </si>
  <si>
    <t>17 001,65</t>
  </si>
  <si>
    <t>3 570,35</t>
  </si>
  <si>
    <t>74 976,04</t>
  </si>
  <si>
    <t>74 291,34</t>
  </si>
  <si>
    <t>17 129,17</t>
  </si>
  <si>
    <t>3 597,13</t>
  </si>
  <si>
    <t>57 719,36</t>
  </si>
  <si>
    <t>57 162,17</t>
  </si>
  <si>
    <t>17 257,64</t>
  </si>
  <si>
    <t>3 624,10</t>
  </si>
  <si>
    <t>40 333,25</t>
  </si>
  <si>
    <t>39 904,54</t>
  </si>
  <si>
    <t>17 387,07</t>
  </si>
  <si>
    <t>3 651,28</t>
  </si>
  <si>
    <t>22 816,75</t>
  </si>
  <si>
    <t>22 517,47</t>
  </si>
  <si>
    <t>17 517,46</t>
  </si>
  <si>
    <t>3 678,67</t>
  </si>
  <si>
    <t>5 168,88</t>
  </si>
  <si>
    <t>5 000,00</t>
  </si>
  <si>
    <t>Ano</t>
  </si>
  <si>
    <t>6 050,00</t>
  </si>
  <si>
    <t>1 050,00</t>
  </si>
  <si>
    <t>Číslo splátky financování</t>
  </si>
  <si>
    <t>Období od</t>
  </si>
  <si>
    <t>Období do</t>
  </si>
  <si>
    <t>Kód měny</t>
  </si>
  <si>
    <t>Částka (LM)</t>
  </si>
  <si>
    <t>Pro rata</t>
  </si>
  <si>
    <t>Zahrnout do splátek</t>
  </si>
  <si>
    <t>Faktor měny</t>
  </si>
  <si>
    <t>Datum měny klienta</t>
  </si>
  <si>
    <t>Vytvořeno</t>
  </si>
  <si>
    <t>Vytvořil</t>
  </si>
  <si>
    <t>Změněno</t>
  </si>
  <si>
    <t>Změnil</t>
  </si>
  <si>
    <t>Odúročené cash-flow</t>
  </si>
  <si>
    <t>Sazba DPH</t>
  </si>
  <si>
    <t>Splátkový kalendář</t>
  </si>
  <si>
    <t>Akontace bez DPH</t>
  </si>
  <si>
    <t>Onecore 20</t>
  </si>
  <si>
    <t>FL000274</t>
  </si>
  <si>
    <t>Poplatek</t>
  </si>
  <si>
    <t>Akontace</t>
  </si>
  <si>
    <t>Anuita vč. DPH</t>
  </si>
  <si>
    <t>KASKO-HAV</t>
  </si>
  <si>
    <t>Iterace za použití funkce Hledání řešení:</t>
  </si>
  <si>
    <t>DPH-ANO/NE</t>
  </si>
  <si>
    <t>RPSN % z OC</t>
  </si>
  <si>
    <t>NE</t>
  </si>
  <si>
    <t>ANO</t>
  </si>
  <si>
    <t>Pojištění celkem</t>
  </si>
  <si>
    <t>CELKEM</t>
  </si>
  <si>
    <t>Vstupní cena bez DPH</t>
  </si>
  <si>
    <t>Vstupní cena vč. DPH</t>
  </si>
  <si>
    <t>Vstupní poplatek bez DPH</t>
  </si>
  <si>
    <t>Zůstatková hodnota bez DPH</t>
  </si>
  <si>
    <t>ZH</t>
  </si>
  <si>
    <t>Poplatek na konci bez DPH/ PC</t>
  </si>
  <si>
    <t>FL000273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</si>
</sst>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č&quot;_-;\-* #,##0.00\ &quot;Kč&quot;_-;_-* &quot;-&quot;??\ &quot;Kč&quot;_-;_-@_-"/>
    <numFmt numFmtId="165" formatCode="0.00000%"/>
    <numFmt numFmtId="166" formatCode="0.0000000"/>
    <numFmt numFmtId="167" formatCode="_-* #,##0\ [$Kč-405]_-;\-* #,##0\ [$Kč-405]_-;_-* &quot;-&quot;??\ [$Kč-405]_-;_-@_-"/>
    <numFmt numFmtId="168" formatCode="_-* #,##0\ &quot;Kč&quot;_-;\-* #,##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9"/>
      <color rgb="FF666666"/>
      <name val="Segoe UI"/>
      <family val="2"/>
      <charset val="238"/>
    </font>
    <font>
      <sz val="10.5"/>
      <color rgb="FF21212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6F7F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D3D6DA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14" fontId="0" fillId="0" borderId="0" xfId="0" applyNumberFormat="1"/>
    <xf numFmtId="0" fontId="1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4" fontId="2" fillId="2" borderId="1" xfId="0" applyNumberFormat="1" applyFont="1" applyFill="1" applyBorder="1" applyAlignment="1">
      <alignment horizontal="right" vertical="center"/>
    </xf>
    <xf numFmtId="2" fontId="0" fillId="0" borderId="0" xfId="0" applyNumberFormat="1"/>
    <xf numFmtId="2" fontId="2" fillId="2" borderId="1" xfId="0" applyNumberFormat="1" applyFont="1" applyFill="1" applyBorder="1" applyAlignment="1">
      <alignment horizontal="right" vertical="center"/>
    </xf>
    <xf numFmtId="0" fontId="0" fillId="0" borderId="0" xfId="0" quotePrefix="1"/>
    <xf numFmtId="14" fontId="2" fillId="3" borderId="1" xfId="0" applyNumberFormat="1" applyFont="1" applyFill="1" applyBorder="1" applyAlignment="1">
      <alignment horizontal="left" vertical="center"/>
    </xf>
    <xf numFmtId="0" fontId="0" fillId="3" borderId="0" xfId="0" applyFill="1"/>
    <xf numFmtId="0" fontId="1" fillId="3" borderId="0" xfId="0" applyFont="1" applyFill="1" applyAlignment="1">
      <alignment horizontal="left" wrapText="1"/>
    </xf>
    <xf numFmtId="0" fontId="2" fillId="3" borderId="1" xfId="0" applyFont="1" applyFill="1" applyBorder="1" applyAlignment="1">
      <alignment horizontal="right" vertical="center"/>
    </xf>
    <xf numFmtId="0" fontId="0" fillId="4" borderId="0" xfId="0" applyFill="1"/>
    <xf numFmtId="2" fontId="2" fillId="2" borderId="0" xfId="0" applyNumberFormat="1" applyFont="1" applyFill="1" applyAlignment="1">
      <alignment horizontal="right" vertical="center"/>
    </xf>
    <xf numFmtId="165" fontId="0" fillId="4" borderId="0" xfId="0" applyNumberFormat="1" applyFill="1"/>
    <xf numFmtId="22" fontId="2" fillId="2" borderId="1" xfId="0" applyNumberFormat="1" applyFont="1" applyFill="1" applyBorder="1" applyAlignment="1">
      <alignment horizontal="left" vertical="center"/>
    </xf>
    <xf numFmtId="166" fontId="0" fillId="4" borderId="0" xfId="0" applyNumberFormat="1" applyFill="1"/>
    <xf numFmtId="0" fontId="0" fillId="0" borderId="2" xfId="0" applyBorder="1"/>
    <xf numFmtId="0" fontId="3" fillId="0" borderId="0" xfId="0" applyFont="1"/>
    <xf numFmtId="14" fontId="3" fillId="0" borderId="0" xfId="0" applyNumberFormat="1" applyFont="1"/>
    <xf numFmtId="0" fontId="0" fillId="5" borderId="3" xfId="0" applyFill="1" applyBorder="1"/>
    <xf numFmtId="14" fontId="3" fillId="5" borderId="3" xfId="0" applyNumberFormat="1" applyFont="1" applyFill="1" applyBorder="1"/>
    <xf numFmtId="164" fontId="3" fillId="5" borderId="3" xfId="1" applyFont="1" applyFill="1" applyBorder="1"/>
    <xf numFmtId="164" fontId="0" fillId="0" borderId="0" xfId="1" applyFont="1"/>
    <xf numFmtId="0" fontId="0" fillId="6" borderId="3" xfId="0" applyFill="1" applyBorder="1"/>
    <xf numFmtId="0" fontId="3" fillId="6" borderId="3" xfId="0" applyFont="1" applyFill="1" applyBorder="1"/>
    <xf numFmtId="4" fontId="0" fillId="0" borderId="0" xfId="0" applyNumberFormat="1"/>
    <xf numFmtId="0" fontId="0" fillId="6" borderId="4" xfId="0" applyFill="1" applyBorder="1"/>
    <xf numFmtId="9" fontId="3" fillId="5" borderId="3" xfId="1" applyNumberFormat="1" applyFont="1" applyFill="1" applyBorder="1"/>
    <xf numFmtId="167" fontId="0" fillId="6" borderId="3" xfId="2" applyNumberFormat="1" applyFont="1" applyFill="1" applyBorder="1"/>
    <xf numFmtId="0" fontId="7" fillId="5" borderId="3" xfId="0" applyFont="1" applyFill="1" applyBorder="1" applyAlignment="1">
      <alignment horizontal="center"/>
    </xf>
    <xf numFmtId="168" fontId="0" fillId="0" borderId="0" xfId="1" applyNumberFormat="1" applyFont="1"/>
    <xf numFmtId="168" fontId="0" fillId="6" borderId="3" xfId="1" applyNumberFormat="1" applyFont="1" applyFill="1" applyBorder="1"/>
    <xf numFmtId="164" fontId="0" fillId="0" borderId="0" xfId="1" applyFont="1" applyBorder="1"/>
    <xf numFmtId="0" fontId="0" fillId="6" borderId="3" xfId="0" quotePrefix="1" applyFill="1" applyBorder="1"/>
    <xf numFmtId="14" fontId="0" fillId="6" borderId="3" xfId="0" applyNumberFormat="1" applyFill="1" applyBorder="1"/>
    <xf numFmtId="0" fontId="0" fillId="0" borderId="3" xfId="0" applyBorder="1"/>
    <xf numFmtId="14" fontId="0" fillId="0" borderId="3" xfId="0" applyNumberFormat="1" applyBorder="1"/>
    <xf numFmtId="168" fontId="0" fillId="0" borderId="3" xfId="1" applyNumberFormat="1" applyFont="1" applyBorder="1"/>
    <xf numFmtId="10" fontId="8" fillId="6" borderId="3" xfId="2" applyNumberFormat="1" applyFont="1" applyFill="1" applyBorder="1"/>
    <xf numFmtId="10" fontId="8" fillId="5" borderId="3" xfId="2" applyNumberFormat="1" applyFont="1" applyFill="1" applyBorder="1"/>
    <xf numFmtId="168" fontId="0" fillId="0" borderId="0" xfId="1" applyNumberFormat="1" applyFont="1" applyBorder="1"/>
    <xf numFmtId="168" fontId="0" fillId="7" borderId="0" xfId="1" applyNumberFormat="1" applyFont="1" applyFill="1" applyBorder="1"/>
    <xf numFmtId="168" fontId="0" fillId="7" borderId="0" xfId="1" applyNumberFormat="1" applyFont="1" applyFill="1"/>
    <xf numFmtId="168" fontId="3" fillId="6" borderId="3" xfId="1" applyNumberFormat="1" applyFont="1" applyFill="1" applyBorder="1"/>
    <xf numFmtId="14" fontId="6" fillId="6" borderId="3" xfId="0" applyNumberFormat="1" applyFont="1" applyFill="1" applyBorder="1"/>
    <xf numFmtId="168" fontId="3" fillId="5" borderId="3" xfId="1" applyNumberFormat="1" applyFont="1" applyFill="1" applyBorder="1"/>
    <xf numFmtId="168" fontId="4" fillId="5" borderId="3" xfId="1" applyNumberFormat="1" applyFont="1" applyFill="1" applyBorder="1"/>
    <xf numFmtId="168" fontId="5" fillId="6" borderId="3" xfId="1" applyNumberFormat="1" applyFont="1" applyFill="1" applyBorder="1"/>
    <xf numFmtId="168" fontId="5" fillId="0" borderId="3" xfId="1" applyNumberFormat="1" applyFont="1" applyBorder="1"/>
    <xf numFmtId="10" fontId="9" fillId="0" borderId="5" xfId="0" applyNumberFormat="1" applyFont="1" applyBorder="1" applyAlignment="1">
      <alignment horizontal="center" vertical="center"/>
    </xf>
  </cellXfs>
  <cellStyles count="3">
    <cellStyle name="Mena" xfId="1" builtinId="4"/>
    <cellStyle name="Normálna" xfId="0" builtinId="0"/>
    <cellStyle name="Percentá" xfId="2" builtinId="5"/>
  </cellStyles>
  <dxfs count="39">
    <dxf>
      <numFmt numFmtId="168" formatCode="_-* #,##0\ &quot;Kč&quot;_-;\-* #,##0\ &quot;Kč&quot;_-;_-* &quot;-&quot;??\ &quot;Kč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_-* #,##0\ &quot;Kč&quot;_-;\-* #,##0\ &quot;Kč&quot;_-;_-* &quot;-&quot;??\ &quot;Kč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8" formatCode="_-* #,##0\ &quot;Kč&quot;_-;\-* #,##0\ &quot;Kč&quot;_-;_-* &quot;-&quot;??\ &quot;Kč&quot;_-;_-@_-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8" formatCode="_-* #,##0\ &quot;Kč&quot;_-;\-* #,##0\ &quot;Kč&quot;_-;_-* &quot;-&quot;??\ &quot;Kč&quot;_-;_-@_-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8" formatCode="_-* #,##0\ &quot;Kč&quot;_-;\-* #,##0\ &quot;Kč&quot;_-;_-* &quot;-&quot;??\ &quot;Kč&quot;_-;_-@_-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_-* #,##0\ &quot;Kč&quot;_-;\-* #,##0\ &quot;Kč&quot;_-;_-* &quot;-&quot;??\ &quot;Kč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8" formatCode="_-* #,##0\ &quot;Kč&quot;_-;\-* #,##0\ &quot;Kč&quot;_-;_-* &quot;-&quot;??\ &quot;Kč&quot;_-;_-@_-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_-* #,##0\ &quot;Kč&quot;_-;\-* #,##0\ &quot;Kč&quot;_-;_-* &quot;-&quot;??\ &quot;Kč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9" formatCode="dd/mm/yyyy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fill>
        <patternFill patternType="solid">
          <fgColor rgb="FF000000"/>
          <bgColor rgb="FFF6F7F8"/>
        </patternFill>
      </fill>
      <alignment horizontal="right" vertical="center" textRotation="0" wrapText="0" indent="0" justifyLastLine="0" shrinkToFit="0" readingOrder="0"/>
    </dxf>
    <dxf>
      <numFmt numFmtId="168" formatCode="_-* #,##0\ &quot;Kč&quot;_-;\-* #,##0\ &quot;Kč&quot;_-;_-* &quot;-&quot;??\ &quot;Kč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_-* #,##0\ &quot;Kč&quot;_-;\-* #,##0\ &quot;Kč&quot;_-;_-* &quot;-&quot;??\ &quot;Kč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8" formatCode="_-* #,##0\ &quot;Kč&quot;_-;\-* #,##0\ &quot;Kč&quot;_-;_-* &quot;-&quot;??\ &quot;Kč&quot;_-;_-@_-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8" formatCode="_-* #,##0\ &quot;Kč&quot;_-;\-* #,##0\ &quot;Kč&quot;_-;_-* &quot;-&quot;??\ &quot;Kč&quot;_-;_-@_-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8" formatCode="_-* #,##0\ &quot;Kč&quot;_-;\-* #,##0\ &quot;Kč&quot;_-;_-* &quot;-&quot;??\ &quot;Kč&quot;_-;_-@_-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_-* #,##0\ &quot;Kč&quot;_-;\-* #,##0\ &quot;Kč&quot;_-;_-* &quot;-&quot;??\ &quot;Kč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8" formatCode="_-* #,##0\ &quot;Kč&quot;_-;\-* #,##0\ &quot;Kč&quot;_-;_-* &quot;-&quot;??\ &quot;Kč&quot;_-;_-@_-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_-* #,##0\ &quot;Kč&quot;_-;\-* #,##0\ &quot;Kč&quot;_-;_-* &quot;-&quot;??\ &quot;Kč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9" formatCode="dd/mm/yyyy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</dxf>
    <dxf>
      <numFmt numFmtId="168" formatCode="_-* #,##0\ &quot;Kč&quot;_-;\-* #,##0\ &quot;Kč&quot;_-;_-* &quot;-&quot;??\ &quot;Kč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_-* #,##0\ &quot;Kč&quot;_-;\-* #,##0\ &quot;Kč&quot;_-;_-* &quot;-&quot;??\ &quot;Kč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8" formatCode="_-* #,##0\ &quot;Kč&quot;_-;\-* #,##0\ &quot;Kč&quot;_-;_-* &quot;-&quot;??\ &quot;Kč&quot;_-;_-@_-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8" formatCode="_-* #,##0\ &quot;Kč&quot;_-;\-* #,##0\ &quot;Kč&quot;_-;_-* &quot;-&quot;??\ &quot;Kč&quot;_-;_-@_-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8" formatCode="_-* #,##0\ &quot;Kč&quot;_-;\-* #,##0\ &quot;Kč&quot;_-;_-* &quot;-&quot;??\ &quot;Kč&quot;_-;_-@_-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_-* #,##0\ &quot;Kč&quot;_-;\-* #,##0\ &quot;Kč&quot;_-;_-* &quot;-&quot;??\ &quot;Kč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8" formatCode="_-* #,##0\ &quot;Kč&quot;_-;\-* #,##0\ &quot;Kč&quot;_-;_-* &quot;-&quot;??\ &quot;Kč&quot;_-;_-@_-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_-* #,##0\ &quot;Kč&quot;_-;\-* #,##0\ &quot;Kč&quot;_-;_-* &quot;-&quot;??\ &quot;Kč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9" formatCode="dd/mm/yyyy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fill>
        <patternFill patternType="solid">
          <fgColor rgb="FF000000"/>
          <bgColor rgb="FFF6F7F8"/>
        </patternFill>
      </fill>
      <alignment horizontal="righ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9524</xdr:colOff>
      <xdr:row>1</xdr:row>
      <xdr:rowOff>27722</xdr:rowOff>
    </xdr:from>
    <xdr:to>
      <xdr:col>35</xdr:col>
      <xdr:colOff>583429</xdr:colOff>
      <xdr:row>9</xdr:row>
      <xdr:rowOff>66960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14C0E42-6059-46C1-A23A-2C76C0A0B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73399" y="265847"/>
          <a:ext cx="13375505" cy="1582288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10</xdr:row>
      <xdr:rowOff>152400</xdr:rowOff>
    </xdr:from>
    <xdr:to>
      <xdr:col>17</xdr:col>
      <xdr:colOff>543241</xdr:colOff>
      <xdr:row>19</xdr:row>
      <xdr:rowOff>124060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60911B3-D202-493A-8E7C-A6DEA9529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68650" y="2124075"/>
          <a:ext cx="2267266" cy="1686160"/>
        </a:xfrm>
        <a:prstGeom prst="rect">
          <a:avLst/>
        </a:prstGeom>
      </xdr:spPr>
    </xdr:pic>
    <xdr:clientData/>
  </xdr:twoCellAnchor>
  <xdr:twoCellAnchor editAs="oneCell">
    <xdr:from>
      <xdr:col>13</xdr:col>
      <xdr:colOff>400050</xdr:colOff>
      <xdr:row>21</xdr:row>
      <xdr:rowOff>78084</xdr:rowOff>
    </xdr:from>
    <xdr:to>
      <xdr:col>42</xdr:col>
      <xdr:colOff>460319</xdr:colOff>
      <xdr:row>45</xdr:row>
      <xdr:rowOff>57950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D0F2A0B-4B24-4C5E-8BE6-418C8C8B4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54325" y="4145259"/>
          <a:ext cx="17738669" cy="45518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9524</xdr:colOff>
      <xdr:row>1</xdr:row>
      <xdr:rowOff>27722</xdr:rowOff>
    </xdr:from>
    <xdr:to>
      <xdr:col>35</xdr:col>
      <xdr:colOff>583429</xdr:colOff>
      <xdr:row>9</xdr:row>
      <xdr:rowOff>66960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6367249-9B20-27FA-6902-E9E9383B9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0049" y="265847"/>
          <a:ext cx="13375505" cy="1582288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10</xdr:row>
      <xdr:rowOff>152400</xdr:rowOff>
    </xdr:from>
    <xdr:to>
      <xdr:col>17</xdr:col>
      <xdr:colOff>543241</xdr:colOff>
      <xdr:row>19</xdr:row>
      <xdr:rowOff>124060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01CB017-DE69-AACB-2886-5BEBA2B77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68650" y="2124075"/>
          <a:ext cx="2267266" cy="16861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9524</xdr:colOff>
      <xdr:row>1</xdr:row>
      <xdr:rowOff>27722</xdr:rowOff>
    </xdr:from>
    <xdr:to>
      <xdr:col>35</xdr:col>
      <xdr:colOff>583429</xdr:colOff>
      <xdr:row>9</xdr:row>
      <xdr:rowOff>66960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F0D2FD4-4D4F-4466-B679-156D1F80E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73399" y="265847"/>
          <a:ext cx="13375505" cy="1582288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10</xdr:row>
      <xdr:rowOff>152400</xdr:rowOff>
    </xdr:from>
    <xdr:to>
      <xdr:col>17</xdr:col>
      <xdr:colOff>543241</xdr:colOff>
      <xdr:row>19</xdr:row>
      <xdr:rowOff>124060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2DCBE19-BFAA-467E-A7FE-063368913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68650" y="2124075"/>
          <a:ext cx="2267266" cy="1686160"/>
        </a:xfrm>
        <a:prstGeom prst="rect">
          <a:avLst/>
        </a:prstGeom>
      </xdr:spPr>
    </xdr:pic>
    <xdr:clientData/>
  </xdr:twoCellAnchor>
  <xdr:twoCellAnchor editAs="oneCell">
    <xdr:from>
      <xdr:col>12</xdr:col>
      <xdr:colOff>438150</xdr:colOff>
      <xdr:row>22</xdr:row>
      <xdr:rowOff>95250</xdr:rowOff>
    </xdr:from>
    <xdr:to>
      <xdr:col>49</xdr:col>
      <xdr:colOff>288877</xdr:colOff>
      <xdr:row>53</xdr:row>
      <xdr:rowOff>172285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C1A4FFE-B503-97CA-2AC5-98FFB825A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82825" y="4352925"/>
          <a:ext cx="22405927" cy="59825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164709</xdr:colOff>
      <xdr:row>2</xdr:row>
      <xdr:rowOff>111515</xdr:rowOff>
    </xdr:from>
    <xdr:to>
      <xdr:col>28</xdr:col>
      <xdr:colOff>365760</xdr:colOff>
      <xdr:row>30</xdr:row>
      <xdr:rowOff>193869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858B294-9688-637A-F44E-0634A589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3536" y="492515"/>
          <a:ext cx="8714936" cy="5929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DD7996-7003-4BE3-8C77-596CCAF05C56}" name="Tabulka13" displayName="Tabulka13" ref="A12:L50" totalsRowShown="0" dataDxfId="38">
  <autoFilter ref="A12:L50" xr:uid="{00A7218F-C99D-410D-86DC-E65C52A7B0ED}"/>
  <tableColumns count="12">
    <tableColumn id="1" xr3:uid="{DBA125E7-914A-4993-A7D4-B3B392981EAC}" name="Splátkový kalendář" dataDxfId="37"/>
    <tableColumn id="2" xr3:uid="{76D2BD19-D305-423C-85DB-F5BC45CD5572}" name="Datum splatnosti" dataDxfId="36"/>
    <tableColumn id="3" xr3:uid="{3C3D0D98-0F07-401C-826A-9050E128133A}" name="Anuita bez DPH" dataDxfId="35"/>
    <tableColumn id="4" xr3:uid="{AA944BF9-3C83-4830-AD13-178AD6B87580}" name="Anuita vč. DPH" dataDxfId="34">
      <calculatedColumnFormula>17686.35*1.21</calculatedColumnFormula>
    </tableColumn>
    <tableColumn id="5" xr3:uid="{B95CEA97-196F-4CC8-99F8-FB46D638BDB6}" name="Počet dnů" dataDxfId="33">
      <calculatedColumnFormula>B13-$B$5</calculatedColumnFormula>
    </tableColumn>
    <tableColumn id="6" xr3:uid="{9886724A-FDE3-4833-8893-AF85C9611DFB}" name="Koeficient odúročení" dataDxfId="32">
      <calculatedColumnFormula>1/POWER((1+$D$2),(E13/365.25))</calculatedColumnFormula>
    </tableColumn>
    <tableColumn id="7" xr3:uid="{D0B0969E-1D89-413B-B242-2FE2B84DBCA6}" name="Odúročené cash-flow" dataDxfId="31">
      <calculatedColumnFormula>(D13+H13+I13+J13)*F13</calculatedColumnFormula>
    </tableColumn>
    <tableColumn id="8" xr3:uid="{3E245FA9-BB04-44FD-88B6-365EEB286025}" name="PZP" dataDxfId="30">
      <calculatedColumnFormula>1219.17*1.21</calculatedColumnFormula>
    </tableColumn>
    <tableColumn id="9" xr3:uid="{7D6FCE8C-5EC2-49CA-9C42-FC0348F0C316}" name="KASKO-HAV" dataDxfId="29">
      <calculatedColumnFormula>1607.08*1.21</calculatedColumnFormula>
    </tableColumn>
    <tableColumn id="10" xr3:uid="{62F7DDB1-C605-4077-9AF8-9A5EAA014BC6}" name="ČELNÉ_SKLO" dataDxfId="28">
      <calculatedColumnFormula>41.67*1.21</calculatedColumnFormula>
    </tableColumn>
    <tableColumn id="12" xr3:uid="{A410F2D7-F3AF-4E93-B63D-27CD9087DEEF}" name="DPH-ANO/NE" dataDxfId="27"/>
    <tableColumn id="11" xr3:uid="{2FF7CC93-37A2-4690-90AD-3B6F48E93719}" name="Pojištění celkem" dataDxfId="26">
      <calculatedColumnFormula>SUM(Tabulka13[[#This Row],[PZP]:[ČELNÉ_SKLO]])*$B$10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A7218F-C99D-410D-86DC-E65C52A7B0ED}" name="Tabulka1" displayName="Tabulka1" ref="A12:L38" totalsRowShown="0" dataDxfId="25">
  <autoFilter ref="A12:L38" xr:uid="{00A7218F-C99D-410D-86DC-E65C52A7B0ED}"/>
  <tableColumns count="12">
    <tableColumn id="1" xr3:uid="{407F8619-03F5-47C9-8593-4B9E64B7BDA8}" name="Splátkový kalendář" dataDxfId="24"/>
    <tableColumn id="2" xr3:uid="{FF62ECD6-62E9-4AC8-B500-F58A66FD7D62}" name="Datum splatnosti" dataDxfId="23"/>
    <tableColumn id="3" xr3:uid="{6A05A1D4-4578-460D-A067-305B6B6620F6}" name="Anuita bez DPH" dataDxfId="22"/>
    <tableColumn id="4" xr3:uid="{46BE5D7B-5A68-4394-9C9D-9BEDD910164F}" name="Anuita vč. DPH" dataDxfId="21">
      <calculatedColumnFormula>17686.35*1.21</calculatedColumnFormula>
    </tableColumn>
    <tableColumn id="5" xr3:uid="{F3B43BCB-5200-4028-8CAF-F2FD8AA180B3}" name="Počet dnů" dataDxfId="20">
      <calculatedColumnFormula>B13-$B$5</calculatedColumnFormula>
    </tableColumn>
    <tableColumn id="6" xr3:uid="{F8065FDC-C822-443D-AB63-BAEC599913F4}" name="Koeficient odúročení" dataDxfId="19">
      <calculatedColumnFormula>1/POWER((1+$D$2),(E13/365.25))</calculatedColumnFormula>
    </tableColumn>
    <tableColumn id="7" xr3:uid="{A6D5F795-25DD-4475-BCF6-68BE19789C0B}" name="Odúročené cash-flow" dataDxfId="18">
      <calculatedColumnFormula>(D13+H13+I13+J13)*F13</calculatedColumnFormula>
    </tableColumn>
    <tableColumn id="8" xr3:uid="{D4DF3BF5-FF34-4CF4-80F0-FC7FB2B865DE}" name="PZP" dataDxfId="17">
      <calculatedColumnFormula>1219.17*1.21</calculatedColumnFormula>
    </tableColumn>
    <tableColumn id="9" xr3:uid="{0132AE3E-F52B-4872-8C0C-C27DC3B73A60}" name="KASKO-HAV" dataDxfId="16">
      <calculatedColumnFormula>1607.08*1.21</calculatedColumnFormula>
    </tableColumn>
    <tableColumn id="10" xr3:uid="{3F4E9D9E-76F1-47CC-89F3-D6465447299D}" name="ČELNÉ_SKLO" dataDxfId="15">
      <calculatedColumnFormula>41.67*1.21</calculatedColumnFormula>
    </tableColumn>
    <tableColumn id="12" xr3:uid="{33D53189-7FFE-4E00-8D03-F6F364C190A5}" name="DPH-ANO/NE" dataDxfId="14"/>
    <tableColumn id="11" xr3:uid="{40E0C8AB-2408-4315-BB47-6FC9A731F180}" name="Pojištění celkem" dataDxfId="13">
      <calculatedColumnFormula>SUM(Tabulka1[[#This Row],[PZP]:[ČELNÉ_SKLO]])*$B$10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5280FC-23FB-45FD-98D7-4C395716399F}" name="Tabulka134" displayName="Tabulka134" ref="A12:L50" totalsRowShown="0" dataDxfId="12">
  <autoFilter ref="A12:L50" xr:uid="{00A7218F-C99D-410D-86DC-E65C52A7B0ED}"/>
  <tableColumns count="12">
    <tableColumn id="1" xr3:uid="{16B5292B-9541-4F1A-B045-4CD47AF3BB62}" name="Splátkový kalendář" dataDxfId="11"/>
    <tableColumn id="2" xr3:uid="{9A1CF0C6-50D3-4C3D-AD9C-920DDCBAE8C1}" name="Datum splatnosti" dataDxfId="10"/>
    <tableColumn id="3" xr3:uid="{218AE6C3-052C-4A9F-A9FC-C5291E2B70A5}" name="Anuita bez DPH" dataDxfId="9"/>
    <tableColumn id="4" xr3:uid="{75B296EB-E605-4BFC-AF1D-3B6BF038B4C6}" name="Anuita vč. DPH" dataDxfId="8">
      <calculatedColumnFormula>17686.35*1.21</calculatedColumnFormula>
    </tableColumn>
    <tableColumn id="5" xr3:uid="{EDB223DB-B7AA-4CDC-A80D-0FFB2B082E54}" name="Počet dnů" dataDxfId="7">
      <calculatedColumnFormula>B13-$B$5</calculatedColumnFormula>
    </tableColumn>
    <tableColumn id="6" xr3:uid="{15D6842B-2084-4034-957F-9FDFBC0601BF}" name="Koeficient odúročení" dataDxfId="6">
      <calculatedColumnFormula>1/POWER((1+$D$2),(E13/365.25))</calculatedColumnFormula>
    </tableColumn>
    <tableColumn id="7" xr3:uid="{C94F74FF-71F5-4FA6-B89E-44EB0CA7AA48}" name="Odúročené cash-flow" dataDxfId="5">
      <calculatedColumnFormula>(D13+H13+I13+J13)*F13</calculatedColumnFormula>
    </tableColumn>
    <tableColumn id="8" xr3:uid="{4D8448E0-EF7A-4D2D-8F78-086F817EC3E9}" name="PZP" dataDxfId="4">
      <calculatedColumnFormula>1219.17*1.21</calculatedColumnFormula>
    </tableColumn>
    <tableColumn id="9" xr3:uid="{3C4D7E11-CEB5-4C35-9516-3C023D629E76}" name="KASKO-HAV" dataDxfId="3">
      <calculatedColumnFormula>1607.08*1.21</calculatedColumnFormula>
    </tableColumn>
    <tableColumn id="10" xr3:uid="{A1C5A381-2268-4C7D-AF4C-A01B4CEA1CE3}" name="ČELNÉ_SKLO" dataDxfId="2">
      <calculatedColumnFormula>41.67*1.21</calculatedColumnFormula>
    </tableColumn>
    <tableColumn id="12" xr3:uid="{548853AD-A908-4393-82D8-6C0EED78BAED}" name="DPH-ANO/NE" dataDxfId="1"/>
    <tableColumn id="11" xr3:uid="{95264761-B30C-48DA-8458-318367618B95}" name="Pojištění celkem" dataDxfId="0">
      <calculatedColumnFormula>SUM(Tabulka134[[#This Row],[PZP]:[ČELNÉ_SKLO]])*$B$10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FB86F-16FC-49E3-B0D6-3043EEB21742}">
  <sheetPr>
    <tabColor theme="7"/>
  </sheetPr>
  <dimension ref="A1:O54"/>
  <sheetViews>
    <sheetView tabSelected="1" zoomScaleNormal="100" workbookViewId="0">
      <selection activeCell="K6" sqref="K6"/>
    </sheetView>
  </sheetViews>
  <sheetFormatPr defaultRowHeight="14.4" x14ac:dyDescent="0.3"/>
  <cols>
    <col min="1" max="1" width="31.44140625" customWidth="1"/>
    <col min="2" max="2" width="22.109375" customWidth="1"/>
    <col min="3" max="3" width="19" bestFit="1" customWidth="1"/>
    <col min="4" max="4" width="15.5546875" customWidth="1"/>
    <col min="5" max="5" width="15" customWidth="1"/>
    <col min="6" max="6" width="19.6640625" customWidth="1"/>
    <col min="7" max="7" width="22.6640625" style="33" customWidth="1"/>
    <col min="8" max="9" width="13.33203125" style="33" bestFit="1" customWidth="1"/>
    <col min="10" max="11" width="13.109375" style="33" customWidth="1"/>
    <col min="12" max="12" width="19.6640625" style="33" bestFit="1" customWidth="1"/>
  </cols>
  <sheetData>
    <row r="1" spans="1:15" ht="18" x14ac:dyDescent="0.35">
      <c r="A1" s="22" t="s">
        <v>0</v>
      </c>
      <c r="B1" s="32" t="s">
        <v>295</v>
      </c>
      <c r="C1" s="20" t="s">
        <v>294</v>
      </c>
      <c r="O1" s="20" t="s">
        <v>300</v>
      </c>
    </row>
    <row r="2" spans="1:15" ht="15.6" x14ac:dyDescent="0.3">
      <c r="A2" s="22" t="s">
        <v>3</v>
      </c>
      <c r="B2" s="22">
        <v>36</v>
      </c>
      <c r="C2" s="29" t="s">
        <v>4</v>
      </c>
      <c r="D2" s="41">
        <v>0.13060005893152429</v>
      </c>
      <c r="E2" s="52">
        <f>D3-D2</f>
        <v>-5.8931524299365989E-8</v>
      </c>
    </row>
    <row r="3" spans="1:15" ht="15.6" x14ac:dyDescent="0.3">
      <c r="A3" s="22" t="s">
        <v>307</v>
      </c>
      <c r="B3" s="48">
        <v>800000</v>
      </c>
      <c r="C3" s="29" t="s">
        <v>302</v>
      </c>
      <c r="D3" s="42">
        <v>0.13059999999999999</v>
      </c>
      <c r="E3" s="52"/>
    </row>
    <row r="4" spans="1:15" x14ac:dyDescent="0.3">
      <c r="A4" s="22" t="s">
        <v>308</v>
      </c>
      <c r="B4" s="49">
        <f>B3*(1+B10)</f>
        <v>968000</v>
      </c>
    </row>
    <row r="5" spans="1:15" x14ac:dyDescent="0.3">
      <c r="A5" s="22" t="s">
        <v>7</v>
      </c>
      <c r="B5" s="23">
        <v>45040</v>
      </c>
      <c r="C5" s="29" t="s">
        <v>8</v>
      </c>
      <c r="D5" s="31">
        <f>B4-G54</f>
        <v>-4.4546264689415693E-4</v>
      </c>
    </row>
    <row r="6" spans="1:15" x14ac:dyDescent="0.3">
      <c r="A6" s="22" t="s">
        <v>309</v>
      </c>
      <c r="B6" s="48">
        <v>10000</v>
      </c>
    </row>
    <row r="7" spans="1:15" x14ac:dyDescent="0.3">
      <c r="A7" s="22" t="s">
        <v>293</v>
      </c>
      <c r="B7" s="48">
        <v>80000</v>
      </c>
    </row>
    <row r="8" spans="1:15" x14ac:dyDescent="0.3">
      <c r="A8" s="22" t="s">
        <v>310</v>
      </c>
      <c r="B8" s="48">
        <v>5000</v>
      </c>
    </row>
    <row r="9" spans="1:15" x14ac:dyDescent="0.3">
      <c r="A9" s="22" t="s">
        <v>312</v>
      </c>
      <c r="B9" s="24">
        <v>15000</v>
      </c>
    </row>
    <row r="10" spans="1:15" x14ac:dyDescent="0.3">
      <c r="A10" s="22" t="s">
        <v>291</v>
      </c>
      <c r="B10" s="30">
        <v>0.21</v>
      </c>
    </row>
    <row r="12" spans="1:15" x14ac:dyDescent="0.3">
      <c r="A12" t="s">
        <v>292</v>
      </c>
      <c r="B12" t="s">
        <v>42</v>
      </c>
      <c r="C12" s="25" t="s">
        <v>55</v>
      </c>
      <c r="D12" s="35" t="s">
        <v>298</v>
      </c>
      <c r="E12" t="s">
        <v>13</v>
      </c>
      <c r="F12" t="s">
        <v>14</v>
      </c>
      <c r="G12" s="43" t="s">
        <v>290</v>
      </c>
      <c r="H12" s="44" t="s">
        <v>16</v>
      </c>
      <c r="I12" s="44" t="s">
        <v>299</v>
      </c>
      <c r="J12" s="44" t="s">
        <v>18</v>
      </c>
      <c r="K12" s="44" t="s">
        <v>301</v>
      </c>
      <c r="L12" s="45" t="s">
        <v>305</v>
      </c>
    </row>
    <row r="13" spans="1:15" x14ac:dyDescent="0.3">
      <c r="A13" s="36" t="s">
        <v>296</v>
      </c>
      <c r="B13" s="37">
        <f>B5</f>
        <v>45040</v>
      </c>
      <c r="C13" s="34"/>
      <c r="D13" s="34">
        <f>(B6)*(1+$B$10)</f>
        <v>12100</v>
      </c>
      <c r="E13" s="26">
        <f t="shared" ref="E13:E53" si="0">B13-$B$5</f>
        <v>0</v>
      </c>
      <c r="F13" s="26">
        <f t="shared" ref="F13:F50" si="1">1/POWER((1+$D$2),(E13/365.25))</f>
        <v>1</v>
      </c>
      <c r="G13" s="34">
        <f>(D13+H13+I13+J13)*F13</f>
        <v>12100</v>
      </c>
      <c r="H13" s="34"/>
      <c r="I13" s="34"/>
      <c r="J13" s="34"/>
      <c r="K13" s="34"/>
      <c r="L13" s="34"/>
    </row>
    <row r="14" spans="1:15" x14ac:dyDescent="0.3">
      <c r="A14" s="36" t="s">
        <v>297</v>
      </c>
      <c r="B14" s="37">
        <f>B5</f>
        <v>45040</v>
      </c>
      <c r="C14" s="34"/>
      <c r="D14" s="34">
        <f>(B7)*(1+$B$10)</f>
        <v>96800</v>
      </c>
      <c r="E14" s="26">
        <f t="shared" si="0"/>
        <v>0</v>
      </c>
      <c r="F14" s="26">
        <f>1/POWER((1+$D$2),(E14/365.25))</f>
        <v>1</v>
      </c>
      <c r="G14" s="34">
        <f>(D14+H14+I14+J14)*F14</f>
        <v>96800</v>
      </c>
      <c r="H14" s="34"/>
      <c r="I14" s="34"/>
      <c r="J14" s="34"/>
      <c r="K14" s="34"/>
      <c r="L14" s="34"/>
    </row>
    <row r="15" spans="1:15" x14ac:dyDescent="0.3">
      <c r="A15" s="38">
        <v>1</v>
      </c>
      <c r="B15" s="39">
        <v>45070</v>
      </c>
      <c r="C15" s="40">
        <v>21668.34</v>
      </c>
      <c r="D15" s="40">
        <f>Tabulka13[[#This Row],[Anuita bez DPH]]*(1+$B$10)</f>
        <v>26218.6914</v>
      </c>
      <c r="E15" s="38">
        <f t="shared" si="0"/>
        <v>30</v>
      </c>
      <c r="F15" s="38">
        <f t="shared" si="1"/>
        <v>0.98996863938106516</v>
      </c>
      <c r="G15" s="40">
        <f>(Tabulka13[[#This Row],[Anuita vč. DPH]]+Tabulka13[[#This Row],[Pojištění celkem]])*F15</f>
        <v>27840.750835660278</v>
      </c>
      <c r="H15" s="40">
        <v>437.5</v>
      </c>
      <c r="I15" s="40">
        <v>1466.67</v>
      </c>
      <c r="J15" s="40"/>
      <c r="K15" s="51" t="s">
        <v>303</v>
      </c>
      <c r="L15" s="40">
        <f>IF(K15="ANO",(H15+I15+J15)*(1+$B$10),(H15+I15+J15))</f>
        <v>1904.17</v>
      </c>
    </row>
    <row r="16" spans="1:15" x14ac:dyDescent="0.3">
      <c r="A16" s="38">
        <v>2</v>
      </c>
      <c r="B16" s="39">
        <v>45100</v>
      </c>
      <c r="C16" s="40">
        <v>21668.34</v>
      </c>
      <c r="D16" s="40">
        <f>Tabulka13[[#This Row],[Anuita bez DPH]]*(1+$B$10)</f>
        <v>26218.6914</v>
      </c>
      <c r="E16" s="38">
        <f t="shared" si="0"/>
        <v>60</v>
      </c>
      <c r="F16" s="38">
        <f t="shared" si="1"/>
        <v>0.98003790695799742</v>
      </c>
      <c r="G16" s="40">
        <f>(Tabulka13[[#This Row],[Anuita vč. DPH]]+Tabulka13[[#This Row],[Pojištění celkem]])*F16</f>
        <v>27561.47022412586</v>
      </c>
      <c r="H16" s="40">
        <v>437.5</v>
      </c>
      <c r="I16" s="40">
        <v>1466.67</v>
      </c>
      <c r="J16" s="40"/>
      <c r="K16" s="51" t="s">
        <v>303</v>
      </c>
      <c r="L16" s="40">
        <f t="shared" ref="L16:L50" si="2">IF(K16="ANO",(H16+I16+J16)*(1+$B$10),(H16+I16+J16))</f>
        <v>1904.17</v>
      </c>
    </row>
    <row r="17" spans="1:12" x14ac:dyDescent="0.3">
      <c r="A17" s="38">
        <v>3</v>
      </c>
      <c r="B17" s="39">
        <v>45131</v>
      </c>
      <c r="C17" s="40">
        <v>21668.34</v>
      </c>
      <c r="D17" s="40">
        <f>Tabulka13[[#This Row],[Anuita bez DPH]]*(1+$B$10)</f>
        <v>26218.6914</v>
      </c>
      <c r="E17" s="38">
        <f t="shared" si="0"/>
        <v>91</v>
      </c>
      <c r="F17" s="38">
        <f t="shared" si="1"/>
        <v>0.96988079346743994</v>
      </c>
      <c r="G17" s="40">
        <f>(Tabulka13[[#This Row],[Anuita vč. DPH]]+Tabulka13[[#This Row],[Pojištění celkem]])*F17</f>
        <v>27275.823129206841</v>
      </c>
      <c r="H17" s="40">
        <v>437.5</v>
      </c>
      <c r="I17" s="40">
        <v>1466.67</v>
      </c>
      <c r="J17" s="40"/>
      <c r="K17" s="51" t="s">
        <v>303</v>
      </c>
      <c r="L17" s="40">
        <f t="shared" si="2"/>
        <v>1904.17</v>
      </c>
    </row>
    <row r="18" spans="1:12" x14ac:dyDescent="0.3">
      <c r="A18" s="38">
        <v>4</v>
      </c>
      <c r="B18" s="39">
        <v>45161</v>
      </c>
      <c r="C18" s="40">
        <v>21668.34</v>
      </c>
      <c r="D18" s="40">
        <f>Tabulka13[[#This Row],[Anuita bez DPH]]*(1+$B$10)</f>
        <v>26218.6914</v>
      </c>
      <c r="E18" s="38">
        <f t="shared" si="0"/>
        <v>121</v>
      </c>
      <c r="F18" s="38">
        <f t="shared" si="1"/>
        <v>0.96015156947078939</v>
      </c>
      <c r="G18" s="40">
        <f>(Tabulka13[[#This Row],[Anuita vč. DPH]]+Tabulka13[[#This Row],[Pojištění celkem]])*F18</f>
        <v>27002.209511219484</v>
      </c>
      <c r="H18" s="40">
        <v>437.5</v>
      </c>
      <c r="I18" s="40">
        <v>1466.67</v>
      </c>
      <c r="J18" s="40"/>
      <c r="K18" s="51" t="s">
        <v>303</v>
      </c>
      <c r="L18" s="40">
        <f t="shared" si="2"/>
        <v>1904.17</v>
      </c>
    </row>
    <row r="19" spans="1:12" x14ac:dyDescent="0.3">
      <c r="A19" s="38">
        <v>5</v>
      </c>
      <c r="B19" s="39">
        <v>45192</v>
      </c>
      <c r="C19" s="40">
        <v>21668.34</v>
      </c>
      <c r="D19" s="40">
        <f>Tabulka13[[#This Row],[Anuita bez DPH]]*(1+$B$10)</f>
        <v>26218.6914</v>
      </c>
      <c r="E19" s="38">
        <f t="shared" si="0"/>
        <v>152</v>
      </c>
      <c r="F19" s="38">
        <f t="shared" si="1"/>
        <v>0.9502005579945878</v>
      </c>
      <c r="G19" s="40">
        <f>(Tabulka13[[#This Row],[Anuita vč. DPH]]+Tabulka13[[#This Row],[Pojištění celkem]])*F19</f>
        <v>26722.358594684458</v>
      </c>
      <c r="H19" s="40">
        <v>437.5</v>
      </c>
      <c r="I19" s="40">
        <v>1466.67</v>
      </c>
      <c r="J19" s="40"/>
      <c r="K19" s="51" t="s">
        <v>303</v>
      </c>
      <c r="L19" s="40">
        <f t="shared" si="2"/>
        <v>1904.17</v>
      </c>
    </row>
    <row r="20" spans="1:12" x14ac:dyDescent="0.3">
      <c r="A20" s="38">
        <v>6</v>
      </c>
      <c r="B20" s="39">
        <v>45223</v>
      </c>
      <c r="C20" s="40">
        <v>21668.34</v>
      </c>
      <c r="D20" s="40">
        <f>Tabulka13[[#This Row],[Anuita bez DPH]]*(1+$B$10)</f>
        <v>26218.6914</v>
      </c>
      <c r="E20" s="38">
        <f t="shared" si="0"/>
        <v>183</v>
      </c>
      <c r="F20" s="38">
        <f t="shared" si="1"/>
        <v>0.94035267880764939</v>
      </c>
      <c r="G20" s="40">
        <f>(Tabulka13[[#This Row],[Anuita vč. DPH]]+Tabulka13[[#This Row],[Pojištění celkem]])*F20</f>
        <v>26445.408053226241</v>
      </c>
      <c r="H20" s="40">
        <v>437.5</v>
      </c>
      <c r="I20" s="40">
        <v>1466.67</v>
      </c>
      <c r="J20" s="40"/>
      <c r="K20" s="51" t="s">
        <v>303</v>
      </c>
      <c r="L20" s="40">
        <f t="shared" si="2"/>
        <v>1904.17</v>
      </c>
    </row>
    <row r="21" spans="1:12" x14ac:dyDescent="0.3">
      <c r="A21" s="38">
        <v>7</v>
      </c>
      <c r="B21" s="39">
        <v>45253</v>
      </c>
      <c r="C21" s="40">
        <v>21668.34</v>
      </c>
      <c r="D21" s="40">
        <f>Tabulka13[[#This Row],[Anuita bez DPH]]*(1+$B$10)</f>
        <v>26218.6914</v>
      </c>
      <c r="E21" s="38">
        <f t="shared" si="0"/>
        <v>213</v>
      </c>
      <c r="F21" s="38">
        <f t="shared" si="1"/>
        <v>0.93091966197754861</v>
      </c>
      <c r="G21" s="40">
        <f>(Tabulka13[[#This Row],[Anuita vč. DPH]]+Tabulka13[[#This Row],[Pojištění celkem]])*F21</f>
        <v>26180.124628329449</v>
      </c>
      <c r="H21" s="40">
        <v>437.5</v>
      </c>
      <c r="I21" s="40">
        <v>1466.67</v>
      </c>
      <c r="J21" s="40"/>
      <c r="K21" s="51" t="s">
        <v>303</v>
      </c>
      <c r="L21" s="40">
        <f t="shared" si="2"/>
        <v>1904.17</v>
      </c>
    </row>
    <row r="22" spans="1:12" x14ac:dyDescent="0.3">
      <c r="A22" s="38">
        <v>8</v>
      </c>
      <c r="B22" s="39">
        <v>45284</v>
      </c>
      <c r="C22" s="40">
        <v>21668.34</v>
      </c>
      <c r="D22" s="40">
        <f>Tabulka13[[#This Row],[Anuita bez DPH]]*(1+$B$10)</f>
        <v>26218.6914</v>
      </c>
      <c r="E22" s="38">
        <f t="shared" si="0"/>
        <v>244</v>
      </c>
      <c r="F22" s="38">
        <f t="shared" si="1"/>
        <v>0.92127161000918456</v>
      </c>
      <c r="G22" s="40">
        <f>(Tabulka13[[#This Row],[Anuita vč. DPH]]+Tabulka13[[#This Row],[Pojištění celkem]])*F22</f>
        <v>25908.793800043153</v>
      </c>
      <c r="H22" s="40">
        <v>437.5</v>
      </c>
      <c r="I22" s="40">
        <v>1466.67</v>
      </c>
      <c r="J22" s="40"/>
      <c r="K22" s="51" t="s">
        <v>303</v>
      </c>
      <c r="L22" s="40">
        <f t="shared" si="2"/>
        <v>1904.17</v>
      </c>
    </row>
    <row r="23" spans="1:12" x14ac:dyDescent="0.3">
      <c r="A23" s="38">
        <v>9</v>
      </c>
      <c r="B23" s="39">
        <v>45314</v>
      </c>
      <c r="C23" s="40">
        <v>21668.34</v>
      </c>
      <c r="D23" s="40">
        <f>Tabulka13[[#This Row],[Anuita bez DPH]]*(1+$B$10)</f>
        <v>26218.6914</v>
      </c>
      <c r="E23" s="38">
        <f t="shared" si="0"/>
        <v>274</v>
      </c>
      <c r="F23" s="38">
        <f t="shared" si="1"/>
        <v>0.91203000226119579</v>
      </c>
      <c r="G23" s="40">
        <f>(Tabulka13[[#This Row],[Anuita vč. DPH]]+Tabulka13[[#This Row],[Pojištění celkem]])*F23</f>
        <v>25648.893346233297</v>
      </c>
      <c r="H23" s="40">
        <v>437.5</v>
      </c>
      <c r="I23" s="40">
        <v>1466.67</v>
      </c>
      <c r="J23" s="40"/>
      <c r="K23" s="51" t="s">
        <v>303</v>
      </c>
      <c r="L23" s="40">
        <f t="shared" si="2"/>
        <v>1904.17</v>
      </c>
    </row>
    <row r="24" spans="1:12" x14ac:dyDescent="0.3">
      <c r="A24" s="38">
        <v>10</v>
      </c>
      <c r="B24" s="39">
        <v>45345</v>
      </c>
      <c r="C24" s="40">
        <v>21668.34</v>
      </c>
      <c r="D24" s="40">
        <f>Tabulka13[[#This Row],[Anuita bez DPH]]*(1+$B$10)</f>
        <v>26218.6914</v>
      </c>
      <c r="E24" s="38">
        <f t="shared" si="0"/>
        <v>305</v>
      </c>
      <c r="F24" s="38">
        <f t="shared" si="1"/>
        <v>0.90257772273813697</v>
      </c>
      <c r="G24" s="40">
        <f>(Tabulka13[[#This Row],[Anuita vč. DPH]]+Tabulka13[[#This Row],[Pojištění celkem]])*F24</f>
        <v>25383.068199292255</v>
      </c>
      <c r="H24" s="40">
        <v>437.5</v>
      </c>
      <c r="I24" s="40">
        <v>1466.67</v>
      </c>
      <c r="J24" s="40"/>
      <c r="K24" s="51" t="s">
        <v>303</v>
      </c>
      <c r="L24" s="40">
        <f t="shared" si="2"/>
        <v>1904.17</v>
      </c>
    </row>
    <row r="25" spans="1:12" x14ac:dyDescent="0.3">
      <c r="A25" s="38">
        <v>11</v>
      </c>
      <c r="B25" s="39">
        <v>45376</v>
      </c>
      <c r="C25" s="40">
        <v>21668.34</v>
      </c>
      <c r="D25" s="40">
        <f>Tabulka13[[#This Row],[Anuita bez DPH]]*(1+$B$10)</f>
        <v>26218.6914</v>
      </c>
      <c r="E25" s="38">
        <f t="shared" si="0"/>
        <v>336</v>
      </c>
      <c r="F25" s="38">
        <f t="shared" si="1"/>
        <v>0.89322340664606237</v>
      </c>
      <c r="G25" s="40">
        <f>(Tabulka13[[#This Row],[Anuita vč. DPH]]+Tabulka13[[#This Row],[Pojištění celkem]])*F25</f>
        <v>25119.998064343054</v>
      </c>
      <c r="H25" s="40">
        <v>437.5</v>
      </c>
      <c r="I25" s="40">
        <v>1466.67</v>
      </c>
      <c r="J25" s="40"/>
      <c r="K25" s="51" t="s">
        <v>303</v>
      </c>
      <c r="L25" s="40">
        <f t="shared" si="2"/>
        <v>1904.17</v>
      </c>
    </row>
    <row r="26" spans="1:12" x14ac:dyDescent="0.3">
      <c r="A26" s="38">
        <v>12</v>
      </c>
      <c r="B26" s="39">
        <v>45405</v>
      </c>
      <c r="C26" s="40">
        <v>21668.34</v>
      </c>
      <c r="D26" s="40">
        <f>Tabulka13[[#This Row],[Anuita bez DPH]]*(1+$B$10)</f>
        <v>26218.6914</v>
      </c>
      <c r="E26" s="38">
        <f t="shared" si="0"/>
        <v>365</v>
      </c>
      <c r="F26" s="38">
        <f t="shared" si="1"/>
        <v>0.88456038225919964</v>
      </c>
      <c r="G26" s="40">
        <f>(Tabulka13[[#This Row],[Anuita vč. DPH]]+Tabulka13[[#This Row],[Pojištění celkem]])*F26</f>
        <v>24876.369030206493</v>
      </c>
      <c r="H26" s="40">
        <v>437.5</v>
      </c>
      <c r="I26" s="40">
        <v>1466.67</v>
      </c>
      <c r="J26" s="40"/>
      <c r="K26" s="51" t="s">
        <v>303</v>
      </c>
      <c r="L26" s="40">
        <f t="shared" si="2"/>
        <v>1904.17</v>
      </c>
    </row>
    <row r="27" spans="1:12" x14ac:dyDescent="0.3">
      <c r="A27" s="38">
        <v>13</v>
      </c>
      <c r="B27" s="39">
        <v>45436</v>
      </c>
      <c r="C27" s="40">
        <v>21668.34</v>
      </c>
      <c r="D27" s="40">
        <f>Tabulka13[[#This Row],[Anuita bez DPH]]*(1+$B$10)</f>
        <v>26218.6914</v>
      </c>
      <c r="E27" s="38">
        <f t="shared" si="0"/>
        <v>396</v>
      </c>
      <c r="F27" s="38">
        <f t="shared" si="1"/>
        <v>0.87539279789529933</v>
      </c>
      <c r="G27" s="40">
        <f>(Tabulka13[[#This Row],[Anuita vč. DPH]]+Tabulka13[[#This Row],[Pojištění celkem]])*F27</f>
        <v>24618.550325767716</v>
      </c>
      <c r="H27" s="40">
        <v>437.5</v>
      </c>
      <c r="I27" s="40">
        <v>1466.67</v>
      </c>
      <c r="J27" s="40"/>
      <c r="K27" s="51" t="s">
        <v>303</v>
      </c>
      <c r="L27" s="40">
        <f t="shared" si="2"/>
        <v>1904.17</v>
      </c>
    </row>
    <row r="28" spans="1:12" x14ac:dyDescent="0.3">
      <c r="A28" s="38">
        <v>14</v>
      </c>
      <c r="B28" s="39">
        <v>45466</v>
      </c>
      <c r="C28" s="40">
        <v>21668.34</v>
      </c>
      <c r="D28" s="40">
        <f>Tabulka13[[#This Row],[Anuita bez DPH]]*(1+$B$10)</f>
        <v>26218.6914</v>
      </c>
      <c r="E28" s="38">
        <f t="shared" si="0"/>
        <v>426</v>
      </c>
      <c r="F28" s="38">
        <f t="shared" si="1"/>
        <v>0.86661141705639333</v>
      </c>
      <c r="G28" s="40">
        <f>(Tabulka13[[#This Row],[Anuita vč. DPH]]+Tabulka13[[#This Row],[Pojištění celkem]])*F28</f>
        <v>24371.592769534545</v>
      </c>
      <c r="H28" s="40">
        <v>437.5</v>
      </c>
      <c r="I28" s="40">
        <v>1466.67</v>
      </c>
      <c r="J28" s="40"/>
      <c r="K28" s="51" t="s">
        <v>303</v>
      </c>
      <c r="L28" s="40">
        <f t="shared" si="2"/>
        <v>1904.17</v>
      </c>
    </row>
    <row r="29" spans="1:12" x14ac:dyDescent="0.3">
      <c r="A29" s="38">
        <v>15</v>
      </c>
      <c r="B29" s="39">
        <v>45497</v>
      </c>
      <c r="C29" s="40">
        <v>21668.34</v>
      </c>
      <c r="D29" s="40">
        <f>Tabulka13[[#This Row],[Anuita bez DPH]]*(1+$B$10)</f>
        <v>26218.6914</v>
      </c>
      <c r="E29" s="38">
        <f t="shared" si="0"/>
        <v>457</v>
      </c>
      <c r="F29" s="38">
        <f t="shared" si="1"/>
        <v>0.85762985577926198</v>
      </c>
      <c r="G29" s="40">
        <f>(Tabulka13[[#This Row],[Anuita vč. DPH]]+Tabulka13[[#This Row],[Pojištění celkem]])*F29</f>
        <v>24119.005566582175</v>
      </c>
      <c r="H29" s="40">
        <v>437.5</v>
      </c>
      <c r="I29" s="40">
        <v>1466.67</v>
      </c>
      <c r="J29" s="40"/>
      <c r="K29" s="51" t="s">
        <v>303</v>
      </c>
      <c r="L29" s="40">
        <f t="shared" si="2"/>
        <v>1904.17</v>
      </c>
    </row>
    <row r="30" spans="1:12" x14ac:dyDescent="0.3">
      <c r="A30" s="38">
        <v>16</v>
      </c>
      <c r="B30" s="39">
        <v>45527</v>
      </c>
      <c r="C30" s="40">
        <v>21668.34</v>
      </c>
      <c r="D30" s="40">
        <f>Tabulka13[[#This Row],[Anuita bez DPH]]*(1+$B$10)</f>
        <v>26218.6914</v>
      </c>
      <c r="E30" s="38">
        <f t="shared" si="0"/>
        <v>487</v>
      </c>
      <c r="F30" s="38">
        <f t="shared" si="1"/>
        <v>0.84902666141837524</v>
      </c>
      <c r="G30" s="40">
        <f>(Tabulka13[[#This Row],[Anuita vč. DPH]]+Tabulka13[[#This Row],[Pojištění celkem]])*F30</f>
        <v>23877.059123973697</v>
      </c>
      <c r="H30" s="40">
        <v>437.5</v>
      </c>
      <c r="I30" s="40">
        <v>1466.67</v>
      </c>
      <c r="J30" s="40"/>
      <c r="K30" s="51" t="s">
        <v>303</v>
      </c>
      <c r="L30" s="40">
        <f t="shared" si="2"/>
        <v>1904.17</v>
      </c>
    </row>
    <row r="31" spans="1:12" x14ac:dyDescent="0.3">
      <c r="A31" s="38">
        <v>17</v>
      </c>
      <c r="B31" s="39">
        <v>45558</v>
      </c>
      <c r="C31" s="40">
        <v>21668.34</v>
      </c>
      <c r="D31" s="40">
        <f>Tabulka13[[#This Row],[Anuita bez DPH]]*(1+$B$10)</f>
        <v>26218.6914</v>
      </c>
      <c r="E31" s="38">
        <f t="shared" si="0"/>
        <v>518</v>
      </c>
      <c r="F31" s="38">
        <f t="shared" si="1"/>
        <v>0.84022734855985204</v>
      </c>
      <c r="G31" s="40">
        <f>(Tabulka13[[#This Row],[Anuita vč. DPH]]+Tabulka13[[#This Row],[Pojištění celkem]])*F31</f>
        <v>23629.597268038211</v>
      </c>
      <c r="H31" s="40">
        <v>437.5</v>
      </c>
      <c r="I31" s="40">
        <v>1466.67</v>
      </c>
      <c r="J31" s="40"/>
      <c r="K31" s="51" t="s">
        <v>303</v>
      </c>
      <c r="L31" s="40">
        <f t="shared" si="2"/>
        <v>1904.17</v>
      </c>
    </row>
    <row r="32" spans="1:12" x14ac:dyDescent="0.3">
      <c r="A32" s="38">
        <v>18</v>
      </c>
      <c r="B32" s="39">
        <v>45589</v>
      </c>
      <c r="C32" s="40">
        <v>21668.34</v>
      </c>
      <c r="D32" s="40">
        <f>Tabulka13[[#This Row],[Anuita bez DPH]]*(1+$B$10)</f>
        <v>26218.6914</v>
      </c>
      <c r="E32" s="38">
        <f t="shared" si="0"/>
        <v>549</v>
      </c>
      <c r="F32" s="38">
        <f t="shared" si="1"/>
        <v>0.83151923178538678</v>
      </c>
      <c r="G32" s="40">
        <f>(Tabulka13[[#This Row],[Anuita vč. DPH]]+Tabulka13[[#This Row],[Pojištění celkem]])*F32</f>
        <v>23384.70010693491</v>
      </c>
      <c r="H32" s="40">
        <v>437.5</v>
      </c>
      <c r="I32" s="40">
        <v>1466.67</v>
      </c>
      <c r="J32" s="40"/>
      <c r="K32" s="51" t="s">
        <v>303</v>
      </c>
      <c r="L32" s="40">
        <f t="shared" si="2"/>
        <v>1904.17</v>
      </c>
    </row>
    <row r="33" spans="1:12" x14ac:dyDescent="0.3">
      <c r="A33" s="38">
        <v>19</v>
      </c>
      <c r="B33" s="39">
        <v>45619</v>
      </c>
      <c r="C33" s="40">
        <v>21668.34</v>
      </c>
      <c r="D33" s="40">
        <f>Tabulka13[[#This Row],[Anuita bez DPH]]*(1+$B$10)</f>
        <v>26218.6914</v>
      </c>
      <c r="E33" s="38">
        <f t="shared" si="0"/>
        <v>579</v>
      </c>
      <c r="F33" s="38">
        <f t="shared" si="1"/>
        <v>0.82317796250976794</v>
      </c>
      <c r="G33" s="40">
        <f>(Tabulka13[[#This Row],[Anuita vč. DPH]]+Tabulka13[[#This Row],[Pojištění celkem]])*F33</f>
        <v>23150.119747196601</v>
      </c>
      <c r="H33" s="40">
        <v>437.5</v>
      </c>
      <c r="I33" s="40">
        <v>1466.67</v>
      </c>
      <c r="J33" s="40"/>
      <c r="K33" s="51" t="s">
        <v>303</v>
      </c>
      <c r="L33" s="40">
        <f t="shared" si="2"/>
        <v>1904.17</v>
      </c>
    </row>
    <row r="34" spans="1:12" x14ac:dyDescent="0.3">
      <c r="A34" s="38">
        <v>20</v>
      </c>
      <c r="B34" s="39">
        <v>45650</v>
      </c>
      <c r="C34" s="40">
        <v>21668.34</v>
      </c>
      <c r="D34" s="40">
        <f>Tabulka13[[#This Row],[Anuita bez DPH]]*(1+$B$10)</f>
        <v>26218.6914</v>
      </c>
      <c r="E34" s="38">
        <f t="shared" si="0"/>
        <v>610</v>
      </c>
      <c r="F34" s="38">
        <f t="shared" si="1"/>
        <v>0.8146465455831613</v>
      </c>
      <c r="G34" s="40">
        <f>(Tabulka13[[#This Row],[Anuita vč. DPH]]+Tabulka13[[#This Row],[Pojištění celkem]])*F34</f>
        <v>22910.191891424027</v>
      </c>
      <c r="H34" s="40">
        <v>437.5</v>
      </c>
      <c r="I34" s="40">
        <v>1466.67</v>
      </c>
      <c r="J34" s="40"/>
      <c r="K34" s="51" t="s">
        <v>303</v>
      </c>
      <c r="L34" s="40">
        <f t="shared" si="2"/>
        <v>1904.17</v>
      </c>
    </row>
    <row r="35" spans="1:12" x14ac:dyDescent="0.3">
      <c r="A35" s="38">
        <v>21</v>
      </c>
      <c r="B35" s="39">
        <v>45680</v>
      </c>
      <c r="C35" s="40">
        <v>21668.34</v>
      </c>
      <c r="D35" s="40">
        <f>Tabulka13[[#This Row],[Anuita bez DPH]]*(1+$B$10)</f>
        <v>26218.6914</v>
      </c>
      <c r="E35" s="38">
        <f t="shared" si="0"/>
        <v>640</v>
      </c>
      <c r="F35" s="38">
        <f t="shared" si="1"/>
        <v>0.80647453230744703</v>
      </c>
      <c r="G35" s="40">
        <f>(Tabulka13[[#This Row],[Anuita vč. DPH]]+Tabulka13[[#This Row],[Pojištění celkem]])*F35</f>
        <v>22680.371494712155</v>
      </c>
      <c r="H35" s="40">
        <v>437.5</v>
      </c>
      <c r="I35" s="40">
        <v>1466.67</v>
      </c>
      <c r="J35" s="40"/>
      <c r="K35" s="51" t="s">
        <v>303</v>
      </c>
      <c r="L35" s="40">
        <f t="shared" si="2"/>
        <v>1904.17</v>
      </c>
    </row>
    <row r="36" spans="1:12" x14ac:dyDescent="0.3">
      <c r="A36" s="38">
        <v>22</v>
      </c>
      <c r="B36" s="39">
        <v>45711</v>
      </c>
      <c r="C36" s="40">
        <v>21668.34</v>
      </c>
      <c r="D36" s="40">
        <f>Tabulka13[[#This Row],[Anuita bez DPH]]*(1+$B$10)</f>
        <v>26218.6914</v>
      </c>
      <c r="E36" s="38">
        <f t="shared" si="0"/>
        <v>671</v>
      </c>
      <c r="F36" s="38">
        <f t="shared" si="1"/>
        <v>0.79811622974207286</v>
      </c>
      <c r="G36" s="40">
        <f>(Tabulka13[[#This Row],[Anuita vč. DPH]]+Tabulka13[[#This Row],[Pojištění celkem]])*F36</f>
        <v>22445.312110126873</v>
      </c>
      <c r="H36" s="40">
        <v>437.5</v>
      </c>
      <c r="I36" s="40">
        <v>1466.67</v>
      </c>
      <c r="J36" s="40"/>
      <c r="K36" s="51" t="s">
        <v>303</v>
      </c>
      <c r="L36" s="40">
        <f t="shared" si="2"/>
        <v>1904.17</v>
      </c>
    </row>
    <row r="37" spans="1:12" x14ac:dyDescent="0.3">
      <c r="A37" s="38">
        <v>23</v>
      </c>
      <c r="B37" s="39">
        <v>45742</v>
      </c>
      <c r="C37" s="40">
        <v>21668.34</v>
      </c>
      <c r="D37" s="40">
        <f>Tabulka13[[#This Row],[Anuita bez DPH]]*(1+$B$10)</f>
        <v>26218.6914</v>
      </c>
      <c r="E37" s="38">
        <f t="shared" si="0"/>
        <v>702</v>
      </c>
      <c r="F37" s="38">
        <f t="shared" si="1"/>
        <v>0.78984455262979791</v>
      </c>
      <c r="G37" s="40">
        <f>(Tabulka13[[#This Row],[Anuita vč. DPH]]+Tabulka13[[#This Row],[Pojištění celkem]])*F37</f>
        <v>22212.688881152815</v>
      </c>
      <c r="H37" s="40">
        <v>437.5</v>
      </c>
      <c r="I37" s="40">
        <v>1466.67</v>
      </c>
      <c r="J37" s="40"/>
      <c r="K37" s="51" t="s">
        <v>303</v>
      </c>
      <c r="L37" s="40">
        <f t="shared" si="2"/>
        <v>1904.17</v>
      </c>
    </row>
    <row r="38" spans="1:12" x14ac:dyDescent="0.3">
      <c r="A38" s="38">
        <v>24</v>
      </c>
      <c r="B38" s="39">
        <v>45770</v>
      </c>
      <c r="C38" s="40">
        <v>21668.34</v>
      </c>
      <c r="D38" s="40">
        <f>Tabulka13[[#This Row],[Anuita bez DPH]]*(1+$B$10)</f>
        <v>26218.6914</v>
      </c>
      <c r="E38" s="38">
        <f t="shared" si="0"/>
        <v>730</v>
      </c>
      <c r="F38" s="38">
        <f t="shared" si="1"/>
        <v>0.78244706986254131</v>
      </c>
      <c r="G38" s="40">
        <f>(Tabulka13[[#This Row],[Anuita vč. DPH]]+Tabulka13[[#This Row],[Pojištění celkem]])*F38</f>
        <v>22004.650498580366</v>
      </c>
      <c r="H38" s="40">
        <v>437.5</v>
      </c>
      <c r="I38" s="40">
        <v>1466.67</v>
      </c>
      <c r="J38" s="40"/>
      <c r="K38" s="51" t="s">
        <v>303</v>
      </c>
      <c r="L38" s="40">
        <f t="shared" si="2"/>
        <v>1904.17</v>
      </c>
    </row>
    <row r="39" spans="1:12" x14ac:dyDescent="0.3">
      <c r="A39" s="38">
        <v>25</v>
      </c>
      <c r="B39" s="39">
        <v>45801</v>
      </c>
      <c r="C39" s="40">
        <v>21668.34</v>
      </c>
      <c r="D39" s="40">
        <f>Tabulka13[[#This Row],[Anuita bez DPH]]*(1+$B$10)</f>
        <v>26218.6914</v>
      </c>
      <c r="E39" s="38">
        <f t="shared" si="0"/>
        <v>761</v>
      </c>
      <c r="F39" s="38">
        <f t="shared" si="1"/>
        <v>0.77433778793321628</v>
      </c>
      <c r="G39" s="40">
        <f>(Tabulka13[[#This Row],[Anuita vč. DPH]]+Tabulka13[[#This Row],[Pojištění celkem]])*F39</f>
        <v>21776.594286828436</v>
      </c>
      <c r="H39" s="40">
        <v>437.5</v>
      </c>
      <c r="I39" s="40">
        <v>1466.67</v>
      </c>
      <c r="J39" s="40"/>
      <c r="K39" s="51" t="s">
        <v>303</v>
      </c>
      <c r="L39" s="40">
        <f t="shared" si="2"/>
        <v>1904.17</v>
      </c>
    </row>
    <row r="40" spans="1:12" x14ac:dyDescent="0.3">
      <c r="A40" s="38">
        <v>26</v>
      </c>
      <c r="B40" s="39">
        <v>45831</v>
      </c>
      <c r="C40" s="40">
        <v>21668.34</v>
      </c>
      <c r="D40" s="40">
        <f>Tabulka13[[#This Row],[Anuita bez DPH]]*(1+$B$10)</f>
        <v>26218.6914</v>
      </c>
      <c r="E40" s="38">
        <f t="shared" si="0"/>
        <v>791</v>
      </c>
      <c r="F40" s="38">
        <f t="shared" si="1"/>
        <v>0.76657012634158994</v>
      </c>
      <c r="G40" s="40">
        <f>(Tabulka13[[#This Row],[Anuita vč. DPH]]+Tabulka13[[#This Row],[Pojištění celkem]])*F40</f>
        <v>21558.145416485026</v>
      </c>
      <c r="H40" s="40">
        <v>437.5</v>
      </c>
      <c r="I40" s="40">
        <v>1466.67</v>
      </c>
      <c r="J40" s="40"/>
      <c r="K40" s="51" t="s">
        <v>303</v>
      </c>
      <c r="L40" s="40">
        <f t="shared" si="2"/>
        <v>1904.17</v>
      </c>
    </row>
    <row r="41" spans="1:12" x14ac:dyDescent="0.3">
      <c r="A41" s="38">
        <v>27</v>
      </c>
      <c r="B41" s="39">
        <v>45862</v>
      </c>
      <c r="C41" s="40">
        <v>21668.34</v>
      </c>
      <c r="D41" s="40">
        <f>Tabulka13[[#This Row],[Anuita bez DPH]]*(1+$B$10)</f>
        <v>26218.6914</v>
      </c>
      <c r="E41" s="38">
        <f t="shared" si="0"/>
        <v>822</v>
      </c>
      <c r="F41" s="38">
        <f t="shared" si="1"/>
        <v>0.7586253930650062</v>
      </c>
      <c r="G41" s="40">
        <f>(Tabulka13[[#This Row],[Anuita vč. DPH]]+Tabulka13[[#This Row],[Pojištění celkem]])*F41</f>
        <v>21334.716783687691</v>
      </c>
      <c r="H41" s="40">
        <v>437.5</v>
      </c>
      <c r="I41" s="40">
        <v>1466.67</v>
      </c>
      <c r="J41" s="40"/>
      <c r="K41" s="51" t="s">
        <v>303</v>
      </c>
      <c r="L41" s="40">
        <f t="shared" si="2"/>
        <v>1904.17</v>
      </c>
    </row>
    <row r="42" spans="1:12" x14ac:dyDescent="0.3">
      <c r="A42" s="38">
        <v>28</v>
      </c>
      <c r="B42" s="39">
        <v>45892</v>
      </c>
      <c r="C42" s="40">
        <v>21668.34</v>
      </c>
      <c r="D42" s="40">
        <f>Tabulka13[[#This Row],[Anuita bez DPH]]*(1+$B$10)</f>
        <v>26218.6914</v>
      </c>
      <c r="E42" s="38">
        <f t="shared" si="0"/>
        <v>852</v>
      </c>
      <c r="F42" s="38">
        <f t="shared" si="1"/>
        <v>0.75101534817249005</v>
      </c>
      <c r="G42" s="40">
        <f>(Tabulka13[[#This Row],[Anuita vč. DPH]]+Tabulka13[[#This Row],[Pojištění celkem]])*F42</f>
        <v>21120.700545927681</v>
      </c>
      <c r="H42" s="40">
        <v>437.5</v>
      </c>
      <c r="I42" s="40">
        <v>1466.67</v>
      </c>
      <c r="J42" s="40"/>
      <c r="K42" s="51" t="s">
        <v>303</v>
      </c>
      <c r="L42" s="40">
        <f t="shared" si="2"/>
        <v>1904.17</v>
      </c>
    </row>
    <row r="43" spans="1:12" x14ac:dyDescent="0.3">
      <c r="A43" s="38">
        <v>29</v>
      </c>
      <c r="B43" s="39">
        <v>45923</v>
      </c>
      <c r="C43" s="40">
        <v>21668.34</v>
      </c>
      <c r="D43" s="40">
        <f>Tabulka13[[#This Row],[Anuita bez DPH]]*(1+$B$10)</f>
        <v>26218.6914</v>
      </c>
      <c r="E43" s="38">
        <f t="shared" si="0"/>
        <v>883</v>
      </c>
      <c r="F43" s="38">
        <f t="shared" si="1"/>
        <v>0.74323182462673654</v>
      </c>
      <c r="G43" s="40">
        <f>(Tabulka13[[#This Row],[Anuita vč. DPH]]+Tabulka13[[#This Row],[Pojištění celkem]])*F43</f>
        <v>20901.805592046818</v>
      </c>
      <c r="H43" s="40">
        <v>437.5</v>
      </c>
      <c r="I43" s="40">
        <v>1466.67</v>
      </c>
      <c r="J43" s="40"/>
      <c r="K43" s="51" t="s">
        <v>303</v>
      </c>
      <c r="L43" s="40">
        <f t="shared" si="2"/>
        <v>1904.17</v>
      </c>
    </row>
    <row r="44" spans="1:12" x14ac:dyDescent="0.3">
      <c r="A44" s="38">
        <v>30</v>
      </c>
      <c r="B44" s="39">
        <v>45954</v>
      </c>
      <c r="C44" s="40">
        <v>21668.34</v>
      </c>
      <c r="D44" s="40">
        <f>Tabulka13[[#This Row],[Anuita bez DPH]]*(1+$B$10)</f>
        <v>26218.6914</v>
      </c>
      <c r="E44" s="38">
        <f t="shared" si="0"/>
        <v>914</v>
      </c>
      <c r="F44" s="38">
        <f t="shared" si="1"/>
        <v>0.73552896952395774</v>
      </c>
      <c r="G44" s="40">
        <f>(Tabulka13[[#This Row],[Anuita vč. DPH]]+Tabulka13[[#This Row],[Pojištění celkem]])*F44</f>
        <v>20685.17926560709</v>
      </c>
      <c r="H44" s="40">
        <v>437.5</v>
      </c>
      <c r="I44" s="40">
        <v>1466.67</v>
      </c>
      <c r="J44" s="40"/>
      <c r="K44" s="51" t="s">
        <v>303</v>
      </c>
      <c r="L44" s="40">
        <f t="shared" si="2"/>
        <v>1904.17</v>
      </c>
    </row>
    <row r="45" spans="1:12" x14ac:dyDescent="0.3">
      <c r="A45" s="38">
        <v>31</v>
      </c>
      <c r="B45" s="39">
        <v>45984</v>
      </c>
      <c r="C45" s="40">
        <v>21668.34</v>
      </c>
      <c r="D45" s="40">
        <f>Tabulka13[[#This Row],[Anuita bez DPH]]*(1+$B$10)</f>
        <v>26218.6914</v>
      </c>
      <c r="E45" s="38">
        <f t="shared" si="0"/>
        <v>944</v>
      </c>
      <c r="F45" s="38">
        <f t="shared" si="1"/>
        <v>0.72815061318498941</v>
      </c>
      <c r="G45" s="40">
        <f>(Tabulka13[[#This Row],[Anuita vč. DPH]]+Tabulka13[[#This Row],[Pojištění celkem]])*F45</f>
        <v>20477.678772926472</v>
      </c>
      <c r="H45" s="40">
        <v>437.5</v>
      </c>
      <c r="I45" s="40">
        <v>1466.67</v>
      </c>
      <c r="J45" s="40"/>
      <c r="K45" s="51" t="s">
        <v>303</v>
      </c>
      <c r="L45" s="40">
        <f t="shared" si="2"/>
        <v>1904.17</v>
      </c>
    </row>
    <row r="46" spans="1:12" x14ac:dyDescent="0.3">
      <c r="A46" s="38">
        <v>32</v>
      </c>
      <c r="B46" s="39">
        <v>46015</v>
      </c>
      <c r="C46" s="40">
        <v>21668.34</v>
      </c>
      <c r="D46" s="40">
        <f>Tabulka13[[#This Row],[Anuita bez DPH]]*(1+$B$10)</f>
        <v>26218.6914</v>
      </c>
      <c r="E46" s="38">
        <f t="shared" si="0"/>
        <v>975</v>
      </c>
      <c r="F46" s="38">
        <f t="shared" si="1"/>
        <v>0.72060405976717767</v>
      </c>
      <c r="G46" s="40">
        <f>(Tabulka13[[#This Row],[Anuita vč. DPH]]+Tabulka13[[#This Row],[Pojištění celkem]])*F46</f>
        <v>20265.448097109656</v>
      </c>
      <c r="H46" s="40">
        <v>437.5</v>
      </c>
      <c r="I46" s="40">
        <v>1466.67</v>
      </c>
      <c r="J46" s="40"/>
      <c r="K46" s="51" t="s">
        <v>303</v>
      </c>
      <c r="L46" s="40">
        <f t="shared" si="2"/>
        <v>1904.17</v>
      </c>
    </row>
    <row r="47" spans="1:12" x14ac:dyDescent="0.3">
      <c r="A47" s="38">
        <v>33</v>
      </c>
      <c r="B47" s="39">
        <v>46045</v>
      </c>
      <c r="C47" s="40">
        <v>21668.34</v>
      </c>
      <c r="D47" s="40">
        <f>Tabulka13[[#This Row],[Anuita bez DPH]]*(1+$B$10)</f>
        <v>26218.6914</v>
      </c>
      <c r="E47" s="38">
        <f t="shared" si="0"/>
        <v>1005</v>
      </c>
      <c r="F47" s="38">
        <f t="shared" si="1"/>
        <v>0.71337542058018455</v>
      </c>
      <c r="G47" s="40">
        <f>(Tabulka13[[#This Row],[Anuita vč. DPH]]+Tabulka13[[#This Row],[Pojištění celkem]])*F47</f>
        <v>20062.158079143239</v>
      </c>
      <c r="H47" s="40">
        <v>437.5</v>
      </c>
      <c r="I47" s="40">
        <v>1466.67</v>
      </c>
      <c r="J47" s="40"/>
      <c r="K47" s="51" t="s">
        <v>303</v>
      </c>
      <c r="L47" s="40">
        <f t="shared" si="2"/>
        <v>1904.17</v>
      </c>
    </row>
    <row r="48" spans="1:12" x14ac:dyDescent="0.3">
      <c r="A48" s="38">
        <v>34</v>
      </c>
      <c r="B48" s="39">
        <v>46076</v>
      </c>
      <c r="C48" s="40">
        <v>21668.34</v>
      </c>
      <c r="D48" s="40">
        <f>Tabulka13[[#This Row],[Anuita bez DPH]]*(1+$B$10)</f>
        <v>26218.6914</v>
      </c>
      <c r="E48" s="38">
        <f t="shared" si="0"/>
        <v>1036</v>
      </c>
      <c r="F48" s="38">
        <f t="shared" si="1"/>
        <v>0.7059819972679191</v>
      </c>
      <c r="G48" s="40">
        <f>(Tabulka13[[#This Row],[Anuita vč. DPH]]+Tabulka13[[#This Row],[Pojištění celkem]])*F48</f>
        <v>19854.233860060867</v>
      </c>
      <c r="H48" s="40">
        <v>437.5</v>
      </c>
      <c r="I48" s="40">
        <v>1466.67</v>
      </c>
      <c r="J48" s="40"/>
      <c r="K48" s="51" t="s">
        <v>303</v>
      </c>
      <c r="L48" s="40">
        <f t="shared" si="2"/>
        <v>1904.17</v>
      </c>
    </row>
    <row r="49" spans="1:12" x14ac:dyDescent="0.3">
      <c r="A49" s="38">
        <v>35</v>
      </c>
      <c r="B49" s="39">
        <v>46107</v>
      </c>
      <c r="C49" s="40">
        <v>21668.34</v>
      </c>
      <c r="D49" s="40">
        <f>Tabulka13[[#This Row],[Anuita bez DPH]]*(1+$B$10)</f>
        <v>26218.6914</v>
      </c>
      <c r="E49" s="38">
        <f t="shared" si="0"/>
        <v>1067</v>
      </c>
      <c r="F49" s="38">
        <f t="shared" si="1"/>
        <v>0.69866519939956062</v>
      </c>
      <c r="G49" s="40">
        <f>(Tabulka13[[#This Row],[Anuita vč. DPH]]+Tabulka13[[#This Row],[Pojištění celkem]])*F49</f>
        <v>19648.464567717208</v>
      </c>
      <c r="H49" s="40">
        <v>437.5</v>
      </c>
      <c r="I49" s="40">
        <v>1466.67</v>
      </c>
      <c r="J49" s="40"/>
      <c r="K49" s="51" t="s">
        <v>303</v>
      </c>
      <c r="L49" s="40">
        <f t="shared" si="2"/>
        <v>1904.17</v>
      </c>
    </row>
    <row r="50" spans="1:12" x14ac:dyDescent="0.3">
      <c r="A50" s="38">
        <v>36</v>
      </c>
      <c r="B50" s="39">
        <v>46135</v>
      </c>
      <c r="C50" s="40">
        <v>21668.34</v>
      </c>
      <c r="D50" s="40">
        <f>Tabulka13[[#This Row],[Anuita bez DPH]]*(1+$B$10)</f>
        <v>26218.6914</v>
      </c>
      <c r="E50" s="38">
        <f t="shared" si="0"/>
        <v>1095</v>
      </c>
      <c r="F50" s="38">
        <f t="shared" si="1"/>
        <v>0.69212167921520018</v>
      </c>
      <c r="G50" s="40">
        <f>(Tabulka13[[#This Row],[Anuita vč. DPH]]+Tabulka13[[#This Row],[Pojištění celkem]])*F50</f>
        <v>19464.442056504337</v>
      </c>
      <c r="H50" s="40">
        <v>437.5</v>
      </c>
      <c r="I50" s="40">
        <v>1466.67</v>
      </c>
      <c r="J50" s="40"/>
      <c r="K50" s="51" t="s">
        <v>303</v>
      </c>
      <c r="L50" s="40">
        <f t="shared" si="2"/>
        <v>1904.17</v>
      </c>
    </row>
    <row r="51" spans="1:12" x14ac:dyDescent="0.3">
      <c r="G51"/>
      <c r="H51"/>
      <c r="I51" s="43"/>
      <c r="J51" s="43"/>
      <c r="K51" s="43"/>
      <c r="L51" s="43"/>
    </row>
    <row r="52" spans="1:12" x14ac:dyDescent="0.3">
      <c r="A52" s="27" t="s">
        <v>311</v>
      </c>
      <c r="B52" s="47">
        <v>46165</v>
      </c>
      <c r="C52" s="46">
        <f>B8</f>
        <v>5000</v>
      </c>
      <c r="D52" s="34">
        <f>C52*(1+$B$10)</f>
        <v>6050</v>
      </c>
      <c r="E52" s="26">
        <f t="shared" si="0"/>
        <v>1125</v>
      </c>
      <c r="F52" s="26">
        <f>1/POWER((1+$D$2),(E52/365.25))</f>
        <v>0.68517875705880993</v>
      </c>
      <c r="G52" s="34">
        <f>D52*F52</f>
        <v>4145.3314802058003</v>
      </c>
    </row>
    <row r="53" spans="1:12" x14ac:dyDescent="0.3">
      <c r="A53" s="27" t="s">
        <v>21</v>
      </c>
      <c r="B53" s="47">
        <v>46165</v>
      </c>
      <c r="C53" s="46">
        <f>B9</f>
        <v>15000</v>
      </c>
      <c r="D53" s="34">
        <f>C53*(1+$B$10)</f>
        <v>18150</v>
      </c>
      <c r="E53" s="26">
        <f t="shared" si="0"/>
        <v>1125</v>
      </c>
      <c r="F53" s="26">
        <f>1/POWER((1+$D$2),(E53/365.25))</f>
        <v>0.68517875705880993</v>
      </c>
      <c r="G53" s="34">
        <f>D53*F53</f>
        <v>12435.9944406174</v>
      </c>
    </row>
    <row r="54" spans="1:12" x14ac:dyDescent="0.3">
      <c r="A54" s="27" t="s">
        <v>306</v>
      </c>
      <c r="B54" s="26"/>
      <c r="C54" s="34"/>
      <c r="D54" s="34"/>
      <c r="E54" s="26"/>
      <c r="F54" s="26"/>
      <c r="G54" s="46">
        <f>SUM(G13:G53)</f>
        <v>968000.00044546265</v>
      </c>
    </row>
  </sheetData>
  <mergeCells count="1">
    <mergeCell ref="E2:E3"/>
  </mergeCells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592A8-0851-4DF0-B6E1-70E84680C8FD}">
  <sheetPr>
    <tabColor theme="7"/>
  </sheetPr>
  <dimension ref="A1:O42"/>
  <sheetViews>
    <sheetView zoomScaleNormal="100" workbookViewId="0">
      <selection activeCell="A56" sqref="A56"/>
    </sheetView>
  </sheetViews>
  <sheetFormatPr defaultRowHeight="14.4" x14ac:dyDescent="0.3"/>
  <cols>
    <col min="1" max="1" width="31.44140625" customWidth="1"/>
    <col min="2" max="2" width="22.109375" customWidth="1"/>
    <col min="3" max="3" width="19" bestFit="1" customWidth="1"/>
    <col min="4" max="4" width="15.5546875" customWidth="1"/>
    <col min="5" max="5" width="15" customWidth="1"/>
    <col min="6" max="6" width="19.6640625" customWidth="1"/>
    <col min="7" max="7" width="22.6640625" style="33" customWidth="1"/>
    <col min="8" max="9" width="13.33203125" style="33" bestFit="1" customWidth="1"/>
    <col min="10" max="11" width="13.109375" style="33" customWidth="1"/>
    <col min="12" max="12" width="19.6640625" style="33" bestFit="1" customWidth="1"/>
  </cols>
  <sheetData>
    <row r="1" spans="1:15" ht="18" x14ac:dyDescent="0.35">
      <c r="A1" s="22" t="s">
        <v>0</v>
      </c>
      <c r="B1" s="32" t="s">
        <v>295</v>
      </c>
      <c r="C1" s="20" t="s">
        <v>294</v>
      </c>
      <c r="O1" s="20" t="s">
        <v>300</v>
      </c>
    </row>
    <row r="2" spans="1:15" ht="15.6" x14ac:dyDescent="0.3">
      <c r="A2" s="22" t="s">
        <v>3</v>
      </c>
      <c r="B2" s="22">
        <v>24</v>
      </c>
      <c r="C2" s="29" t="s">
        <v>4</v>
      </c>
      <c r="D2" s="41">
        <v>0.14128500597037674</v>
      </c>
      <c r="E2" s="52">
        <f>D3-D2</f>
        <v>1.4994029623266458E-5</v>
      </c>
    </row>
    <row r="3" spans="1:15" ht="15.6" x14ac:dyDescent="0.3">
      <c r="A3" s="22" t="s">
        <v>307</v>
      </c>
      <c r="B3" s="48">
        <v>800000</v>
      </c>
      <c r="C3" s="29" t="s">
        <v>302</v>
      </c>
      <c r="D3" s="42">
        <v>0.14130000000000001</v>
      </c>
      <c r="E3" s="52"/>
    </row>
    <row r="4" spans="1:15" x14ac:dyDescent="0.3">
      <c r="A4" s="22" t="s">
        <v>308</v>
      </c>
      <c r="B4" s="49">
        <f>B3*(1+B10)</f>
        <v>968000</v>
      </c>
    </row>
    <row r="5" spans="1:15" x14ac:dyDescent="0.3">
      <c r="A5" s="22" t="s">
        <v>7</v>
      </c>
      <c r="B5" s="23">
        <v>45040</v>
      </c>
      <c r="C5" s="29" t="s">
        <v>8</v>
      </c>
      <c r="D5" s="31">
        <f>B4-G42</f>
        <v>-8.3333463408052921E-5</v>
      </c>
    </row>
    <row r="6" spans="1:15" x14ac:dyDescent="0.3">
      <c r="A6" s="22" t="s">
        <v>309</v>
      </c>
      <c r="B6" s="48">
        <v>10000</v>
      </c>
    </row>
    <row r="7" spans="1:15" x14ac:dyDescent="0.3">
      <c r="A7" s="22" t="s">
        <v>293</v>
      </c>
      <c r="B7" s="48">
        <v>80000</v>
      </c>
    </row>
    <row r="8" spans="1:15" x14ac:dyDescent="0.3">
      <c r="A8" s="22" t="s">
        <v>310</v>
      </c>
      <c r="B8" s="48">
        <v>5000</v>
      </c>
    </row>
    <row r="9" spans="1:15" x14ac:dyDescent="0.3">
      <c r="A9" s="22" t="s">
        <v>312</v>
      </c>
      <c r="B9" s="24">
        <v>15000</v>
      </c>
    </row>
    <row r="10" spans="1:15" x14ac:dyDescent="0.3">
      <c r="A10" s="22" t="s">
        <v>291</v>
      </c>
      <c r="B10" s="30">
        <v>0.21</v>
      </c>
    </row>
    <row r="12" spans="1:15" x14ac:dyDescent="0.3">
      <c r="A12" t="s">
        <v>292</v>
      </c>
      <c r="B12" t="s">
        <v>42</v>
      </c>
      <c r="C12" s="25" t="s">
        <v>55</v>
      </c>
      <c r="D12" s="35" t="s">
        <v>298</v>
      </c>
      <c r="E12" t="s">
        <v>13</v>
      </c>
      <c r="F12" t="s">
        <v>14</v>
      </c>
      <c r="G12" s="43" t="s">
        <v>290</v>
      </c>
      <c r="H12" s="44" t="s">
        <v>16</v>
      </c>
      <c r="I12" s="44" t="s">
        <v>299</v>
      </c>
      <c r="J12" s="44" t="s">
        <v>18</v>
      </c>
      <c r="K12" s="44" t="s">
        <v>301</v>
      </c>
      <c r="L12" s="45" t="s">
        <v>305</v>
      </c>
    </row>
    <row r="13" spans="1:15" x14ac:dyDescent="0.3">
      <c r="A13" s="36" t="s">
        <v>296</v>
      </c>
      <c r="B13" s="37">
        <f>B5</f>
        <v>45040</v>
      </c>
      <c r="C13" s="34"/>
      <c r="D13" s="34">
        <f>(B6)*(1+$B$10)</f>
        <v>12100</v>
      </c>
      <c r="E13" s="26">
        <f t="shared" ref="E13:E41" si="0">B13-$B$5</f>
        <v>0</v>
      </c>
      <c r="F13" s="26">
        <f t="shared" ref="F13:F38" si="1">1/POWER((1+$D$2),(E13/365.25))</f>
        <v>1</v>
      </c>
      <c r="G13" s="34">
        <f>(D13+H13+I13+J13)*F13</f>
        <v>12100</v>
      </c>
      <c r="H13" s="34"/>
      <c r="I13" s="34"/>
      <c r="J13" s="34"/>
      <c r="K13" s="34"/>
      <c r="L13" s="34"/>
    </row>
    <row r="14" spans="1:15" x14ac:dyDescent="0.3">
      <c r="A14" s="36" t="s">
        <v>297</v>
      </c>
      <c r="B14" s="37">
        <f>B5</f>
        <v>45040</v>
      </c>
      <c r="C14" s="34"/>
      <c r="D14" s="34">
        <f>(B7)*(1+$B$10)</f>
        <v>96800</v>
      </c>
      <c r="E14" s="26">
        <f t="shared" si="0"/>
        <v>0</v>
      </c>
      <c r="F14" s="26">
        <f>1/POWER((1+$D$2),(E14/365.25))</f>
        <v>1</v>
      </c>
      <c r="G14" s="34">
        <f>(D14+H14+I14+J14)*F14</f>
        <v>96800</v>
      </c>
      <c r="H14" s="34"/>
      <c r="I14" s="34"/>
      <c r="J14" s="34"/>
      <c r="K14" s="34"/>
      <c r="L14" s="34"/>
    </row>
    <row r="15" spans="1:15" x14ac:dyDescent="0.3">
      <c r="A15" s="38">
        <v>1</v>
      </c>
      <c r="B15" s="1">
        <v>45070</v>
      </c>
      <c r="C15" s="40">
        <v>31556.45</v>
      </c>
      <c r="D15" s="40">
        <f>Tabulka1[[#This Row],[Anuita bez DPH]]*(1+$B$10)</f>
        <v>38183.304499999998</v>
      </c>
      <c r="E15" s="38">
        <f t="shared" si="0"/>
        <v>30</v>
      </c>
      <c r="F15" s="38">
        <f t="shared" si="1"/>
        <v>0.98920409284170752</v>
      </c>
      <c r="G15" s="40">
        <f>(Tabulka1[[#This Row],[Anuita vč. DPH]]+Tabulka1[[#This Row],[Pojištění celkem]])*F15</f>
        <v>39654.693847087576</v>
      </c>
      <c r="H15" s="40">
        <v>437.5</v>
      </c>
      <c r="I15" s="40">
        <v>1466.67</v>
      </c>
      <c r="J15" s="40"/>
      <c r="K15" s="51" t="s">
        <v>303</v>
      </c>
      <c r="L15" s="40">
        <f>IF(K15="ANO",(H15+I15+J15)*(1+$B$10),(H15+I15+J15))</f>
        <v>1904.17</v>
      </c>
    </row>
    <row r="16" spans="1:15" x14ac:dyDescent="0.3">
      <c r="A16" s="38">
        <v>2</v>
      </c>
      <c r="B16" s="1">
        <v>45100</v>
      </c>
      <c r="C16" s="40">
        <v>31556.45</v>
      </c>
      <c r="D16" s="40">
        <f>Tabulka1[[#This Row],[Anuita bez DPH]]*(1+$B$10)</f>
        <v>38183.304499999998</v>
      </c>
      <c r="E16" s="38">
        <f t="shared" si="0"/>
        <v>60</v>
      </c>
      <c r="F16" s="38">
        <f t="shared" si="1"/>
        <v>0.9785247372947854</v>
      </c>
      <c r="G16" s="40">
        <f>(Tabulka1[[#This Row],[Anuita vč. DPH]]+Tabulka1[[#This Row],[Pojištění celkem]])*F16</f>
        <v>39226.585453923908</v>
      </c>
      <c r="H16" s="40">
        <v>437.5</v>
      </c>
      <c r="I16" s="40">
        <v>1466.67</v>
      </c>
      <c r="J16" s="40"/>
      <c r="K16" s="51" t="s">
        <v>303</v>
      </c>
      <c r="L16" s="40">
        <f t="shared" ref="L16:L38" si="2">IF(K16="ANO",(H16+I16+J16)*(1+$B$10),(H16+I16+J16))</f>
        <v>1904.17</v>
      </c>
    </row>
    <row r="17" spans="1:12" x14ac:dyDescent="0.3">
      <c r="A17" s="38">
        <v>3</v>
      </c>
      <c r="B17" s="1">
        <v>45131</v>
      </c>
      <c r="C17" s="40">
        <v>31556.45</v>
      </c>
      <c r="D17" s="40">
        <f>Tabulka1[[#This Row],[Anuita bez DPH]]*(1+$B$10)</f>
        <v>38183.304499999998</v>
      </c>
      <c r="E17" s="38">
        <f t="shared" si="0"/>
        <v>91</v>
      </c>
      <c r="F17" s="38">
        <f t="shared" si="1"/>
        <v>0.96761051071182147</v>
      </c>
      <c r="G17" s="40">
        <f>(Tabulka1[[#This Row],[Anuita vč. DPH]]+Tabulka1[[#This Row],[Pojištění celkem]])*F17</f>
        <v>38789.061674092118</v>
      </c>
      <c r="H17" s="40">
        <v>437.5</v>
      </c>
      <c r="I17" s="40">
        <v>1466.67</v>
      </c>
      <c r="J17" s="40"/>
      <c r="K17" s="51" t="s">
        <v>303</v>
      </c>
      <c r="L17" s="40">
        <f t="shared" si="2"/>
        <v>1904.17</v>
      </c>
    </row>
    <row r="18" spans="1:12" x14ac:dyDescent="0.3">
      <c r="A18" s="38">
        <v>4</v>
      </c>
      <c r="B18" s="1">
        <v>45161</v>
      </c>
      <c r="C18" s="40">
        <v>31556.45</v>
      </c>
      <c r="D18" s="40">
        <f>Tabulka1[[#This Row],[Anuita bez DPH]]*(1+$B$10)</f>
        <v>38183.304499999998</v>
      </c>
      <c r="E18" s="38">
        <f t="shared" si="0"/>
        <v>121</v>
      </c>
      <c r="F18" s="38">
        <f t="shared" si="1"/>
        <v>0.95716427747278876</v>
      </c>
      <c r="G18" s="40">
        <f>(Tabulka1[[#This Row],[Anuita vč. DPH]]+Tabulka1[[#This Row],[Pojištění celkem]])*F18</f>
        <v>38370.29856550134</v>
      </c>
      <c r="H18" s="40">
        <v>437.5</v>
      </c>
      <c r="I18" s="40">
        <v>1466.67</v>
      </c>
      <c r="J18" s="40"/>
      <c r="K18" s="51" t="s">
        <v>303</v>
      </c>
      <c r="L18" s="40">
        <f t="shared" si="2"/>
        <v>1904.17</v>
      </c>
    </row>
    <row r="19" spans="1:12" x14ac:dyDescent="0.3">
      <c r="A19" s="38">
        <v>5</v>
      </c>
      <c r="B19" s="1">
        <v>45192</v>
      </c>
      <c r="C19" s="40">
        <v>31556.45</v>
      </c>
      <c r="D19" s="40">
        <f>Tabulka1[[#This Row],[Anuita bez DPH]]*(1+$B$10)</f>
        <v>38183.304499999998</v>
      </c>
      <c r="E19" s="38">
        <f t="shared" si="0"/>
        <v>152</v>
      </c>
      <c r="F19" s="38">
        <f t="shared" si="1"/>
        <v>0.94648830025596564</v>
      </c>
      <c r="G19" s="40">
        <f>(Tabulka1[[#This Row],[Anuita vč. DPH]]+Tabulka1[[#This Row],[Pojištění celkem]])*F19</f>
        <v>37942.325601059361</v>
      </c>
      <c r="H19" s="40">
        <v>437.5</v>
      </c>
      <c r="I19" s="40">
        <v>1466.67</v>
      </c>
      <c r="J19" s="40"/>
      <c r="K19" s="51" t="s">
        <v>303</v>
      </c>
      <c r="L19" s="40">
        <f t="shared" si="2"/>
        <v>1904.17</v>
      </c>
    </row>
    <row r="20" spans="1:12" x14ac:dyDescent="0.3">
      <c r="A20" s="38">
        <v>6</v>
      </c>
      <c r="B20" s="1">
        <v>45223</v>
      </c>
      <c r="C20" s="40">
        <v>31556.45</v>
      </c>
      <c r="D20" s="40">
        <f>Tabulka1[[#This Row],[Anuita bez DPH]]*(1+$B$10)</f>
        <v>38183.304499999998</v>
      </c>
      <c r="E20" s="38">
        <f t="shared" si="0"/>
        <v>183</v>
      </c>
      <c r="F20" s="38">
        <f t="shared" si="1"/>
        <v>0.93593140028869792</v>
      </c>
      <c r="G20" s="40">
        <f>(Tabulka1[[#This Row],[Anuita vč. DPH]]+Tabulka1[[#This Row],[Pojištění celkem]])*F20</f>
        <v>37519.126142822468</v>
      </c>
      <c r="H20" s="40">
        <v>437.5</v>
      </c>
      <c r="I20" s="40">
        <v>1466.67</v>
      </c>
      <c r="J20" s="40"/>
      <c r="K20" s="51" t="s">
        <v>303</v>
      </c>
      <c r="L20" s="40">
        <f t="shared" si="2"/>
        <v>1904.17</v>
      </c>
    </row>
    <row r="21" spans="1:12" x14ac:dyDescent="0.3">
      <c r="A21" s="38">
        <v>7</v>
      </c>
      <c r="B21" s="1">
        <v>45253</v>
      </c>
      <c r="C21" s="40">
        <v>31556.45</v>
      </c>
      <c r="D21" s="40">
        <f>Tabulka1[[#This Row],[Anuita bez DPH]]*(1+$B$10)</f>
        <v>38183.304499999998</v>
      </c>
      <c r="E21" s="38">
        <f t="shared" si="0"/>
        <v>213</v>
      </c>
      <c r="F21" s="38">
        <f t="shared" si="1"/>
        <v>0.92582717178465046</v>
      </c>
      <c r="G21" s="40">
        <f>(Tabulka1[[#This Row],[Anuita vč. DPH]]+Tabulka1[[#This Row],[Pojištění celkem]])*F21</f>
        <v>37114.07314032429</v>
      </c>
      <c r="H21" s="40">
        <v>437.5</v>
      </c>
      <c r="I21" s="40">
        <v>1466.67</v>
      </c>
      <c r="J21" s="40"/>
      <c r="K21" s="51" t="s">
        <v>303</v>
      </c>
      <c r="L21" s="40">
        <f t="shared" si="2"/>
        <v>1904.17</v>
      </c>
    </row>
    <row r="22" spans="1:12" x14ac:dyDescent="0.3">
      <c r="A22" s="38">
        <v>8</v>
      </c>
      <c r="B22" s="1">
        <v>45284</v>
      </c>
      <c r="C22" s="40">
        <v>31556.45</v>
      </c>
      <c r="D22" s="40">
        <f>Tabulka1[[#This Row],[Anuita bez DPH]]*(1+$B$10)</f>
        <v>38183.304499999998</v>
      </c>
      <c r="E22" s="38">
        <f t="shared" si="0"/>
        <v>244</v>
      </c>
      <c r="F22" s="38">
        <f t="shared" si="1"/>
        <v>0.91550072101197244</v>
      </c>
      <c r="G22" s="40">
        <f>(Tabulka1[[#This Row],[Anuita vč. DPH]]+Tabulka1[[#This Row],[Pojištění celkem]])*F22</f>
        <v>36700.111808299058</v>
      </c>
      <c r="H22" s="40">
        <v>437.5</v>
      </c>
      <c r="I22" s="40">
        <v>1466.67</v>
      </c>
      <c r="J22" s="40"/>
      <c r="K22" s="51" t="s">
        <v>303</v>
      </c>
      <c r="L22" s="40">
        <f t="shared" si="2"/>
        <v>1904.17</v>
      </c>
    </row>
    <row r="23" spans="1:12" x14ac:dyDescent="0.3">
      <c r="A23" s="38">
        <v>9</v>
      </c>
      <c r="B23" s="1">
        <v>45314</v>
      </c>
      <c r="C23" s="40">
        <v>31556.45</v>
      </c>
      <c r="D23" s="40">
        <f>Tabulka1[[#This Row],[Anuita bez DPH]]*(1+$B$10)</f>
        <v>38183.304499999998</v>
      </c>
      <c r="E23" s="38">
        <f t="shared" si="0"/>
        <v>274</v>
      </c>
      <c r="F23" s="38">
        <f t="shared" si="1"/>
        <v>0.90561706022457722</v>
      </c>
      <c r="G23" s="40">
        <f>(Tabulka1[[#This Row],[Anuita vč. DPH]]+Tabulka1[[#This Row],[Pojištění celkem]])*F23</f>
        <v>36303.900808517697</v>
      </c>
      <c r="H23" s="40">
        <v>437.5</v>
      </c>
      <c r="I23" s="40">
        <v>1466.67</v>
      </c>
      <c r="J23" s="40"/>
      <c r="K23" s="51" t="s">
        <v>303</v>
      </c>
      <c r="L23" s="40">
        <f t="shared" si="2"/>
        <v>1904.17</v>
      </c>
    </row>
    <row r="24" spans="1:12" x14ac:dyDescent="0.3">
      <c r="A24" s="38">
        <v>10</v>
      </c>
      <c r="B24" s="1">
        <v>45345</v>
      </c>
      <c r="C24" s="40">
        <v>31556.45</v>
      </c>
      <c r="D24" s="40">
        <f>Tabulka1[[#This Row],[Anuita bez DPH]]*(1+$B$10)</f>
        <v>38183.304499999998</v>
      </c>
      <c r="E24" s="38">
        <f t="shared" si="0"/>
        <v>305</v>
      </c>
      <c r="F24" s="38">
        <f t="shared" si="1"/>
        <v>0.89551602811371411</v>
      </c>
      <c r="G24" s="40">
        <f>(Tabulka1[[#This Row],[Anuita vč. DPH]]+Tabulka1[[#This Row],[Pojištění celkem]])*F24</f>
        <v>35898.975941349796</v>
      </c>
      <c r="H24" s="40">
        <v>437.5</v>
      </c>
      <c r="I24" s="40">
        <v>1466.67</v>
      </c>
      <c r="J24" s="40"/>
      <c r="K24" s="51" t="s">
        <v>303</v>
      </c>
      <c r="L24" s="40">
        <f t="shared" si="2"/>
        <v>1904.17</v>
      </c>
    </row>
    <row r="25" spans="1:12" x14ac:dyDescent="0.3">
      <c r="A25" s="38">
        <v>11</v>
      </c>
      <c r="B25" s="1">
        <v>45376</v>
      </c>
      <c r="C25" s="40">
        <v>31556.45</v>
      </c>
      <c r="D25" s="40">
        <f>Tabulka1[[#This Row],[Anuita bez DPH]]*(1+$B$10)</f>
        <v>38183.304499999998</v>
      </c>
      <c r="E25" s="38">
        <f t="shared" si="0"/>
        <v>336</v>
      </c>
      <c r="F25" s="38">
        <f t="shared" si="1"/>
        <v>0.88552766045473219</v>
      </c>
      <c r="G25" s="40">
        <f>(Tabulka1[[#This Row],[Anuita vč. DPH]]+Tabulka1[[#This Row],[Pojištění celkem]])*F25</f>
        <v>35498.56750752373</v>
      </c>
      <c r="H25" s="40">
        <v>437.5</v>
      </c>
      <c r="I25" s="40">
        <v>1466.67</v>
      </c>
      <c r="J25" s="40"/>
      <c r="K25" s="51" t="s">
        <v>303</v>
      </c>
      <c r="L25" s="40">
        <f t="shared" si="2"/>
        <v>1904.17</v>
      </c>
    </row>
    <row r="26" spans="1:12" x14ac:dyDescent="0.3">
      <c r="A26" s="38">
        <v>12</v>
      </c>
      <c r="B26" s="1">
        <v>45405</v>
      </c>
      <c r="C26" s="40">
        <v>31556.45</v>
      </c>
      <c r="D26" s="40">
        <f>Tabulka1[[#This Row],[Anuita bez DPH]]*(1+$B$10)</f>
        <v>38183.304499999998</v>
      </c>
      <c r="E26" s="38">
        <f t="shared" si="0"/>
        <v>365</v>
      </c>
      <c r="F26" s="38">
        <f t="shared" si="1"/>
        <v>0.87628458615324178</v>
      </c>
      <c r="G26" s="40">
        <f>(Tabulka1[[#This Row],[Anuita vč. DPH]]+Tabulka1[[#This Row],[Pojištění celkem]])*F26</f>
        <v>35128.036002161127</v>
      </c>
      <c r="H26" s="40">
        <v>437.5</v>
      </c>
      <c r="I26" s="40">
        <v>1466.67</v>
      </c>
      <c r="J26" s="40"/>
      <c r="K26" s="51" t="s">
        <v>303</v>
      </c>
      <c r="L26" s="40">
        <f t="shared" si="2"/>
        <v>1904.17</v>
      </c>
    </row>
    <row r="27" spans="1:12" x14ac:dyDescent="0.3">
      <c r="A27" s="38">
        <v>13</v>
      </c>
      <c r="B27" s="1">
        <v>45436</v>
      </c>
      <c r="C27" s="40">
        <v>31556.45</v>
      </c>
      <c r="D27" s="40">
        <f>Tabulka1[[#This Row],[Anuita bez DPH]]*(1+$B$10)</f>
        <v>38183.304499999998</v>
      </c>
      <c r="E27" s="38">
        <f t="shared" si="0"/>
        <v>396</v>
      </c>
      <c r="F27" s="38">
        <f t="shared" si="1"/>
        <v>0.86651072131373275</v>
      </c>
      <c r="G27" s="40">
        <f>(Tabulka1[[#This Row],[Anuita vč. DPH]]+Tabulka1[[#This Row],[Pojištění celkem]])*F27</f>
        <v>34736.226444640866</v>
      </c>
      <c r="H27" s="40">
        <v>437.5</v>
      </c>
      <c r="I27" s="40">
        <v>1466.67</v>
      </c>
      <c r="J27" s="40"/>
      <c r="K27" s="51" t="s">
        <v>303</v>
      </c>
      <c r="L27" s="40">
        <f t="shared" si="2"/>
        <v>1904.17</v>
      </c>
    </row>
    <row r="28" spans="1:12" x14ac:dyDescent="0.3">
      <c r="A28" s="38">
        <v>14</v>
      </c>
      <c r="B28" s="1">
        <v>45466</v>
      </c>
      <c r="C28" s="40">
        <v>31556.45</v>
      </c>
      <c r="D28" s="40">
        <f>Tabulka1[[#This Row],[Anuita bez DPH]]*(1+$B$10)</f>
        <v>38183.304499999998</v>
      </c>
      <c r="E28" s="38">
        <f t="shared" si="0"/>
        <v>426</v>
      </c>
      <c r="F28" s="38">
        <f t="shared" si="1"/>
        <v>0.85715595201476458</v>
      </c>
      <c r="G28" s="40">
        <f>(Tabulka1[[#This Row],[Anuita vč. DPH]]+Tabulka1[[#This Row],[Pojištění celkem]])*F28</f>
        <v>34361.217368915095</v>
      </c>
      <c r="H28" s="40">
        <v>437.5</v>
      </c>
      <c r="I28" s="40">
        <v>1466.67</v>
      </c>
      <c r="J28" s="40"/>
      <c r="K28" s="51" t="s">
        <v>303</v>
      </c>
      <c r="L28" s="40">
        <f t="shared" si="2"/>
        <v>1904.17</v>
      </c>
    </row>
    <row r="29" spans="1:12" x14ac:dyDescent="0.3">
      <c r="A29" s="38">
        <v>15</v>
      </c>
      <c r="B29" s="1">
        <v>45497</v>
      </c>
      <c r="C29" s="40">
        <v>31556.45</v>
      </c>
      <c r="D29" s="40">
        <f>Tabulka1[[#This Row],[Anuita bez DPH]]*(1+$B$10)</f>
        <v>38183.304499999998</v>
      </c>
      <c r="E29" s="38">
        <f t="shared" si="0"/>
        <v>457</v>
      </c>
      <c r="F29" s="38">
        <f t="shared" si="1"/>
        <v>0.84759544330132275</v>
      </c>
      <c r="G29" s="40">
        <f>(Tabulka1[[#This Row],[Anuita vč. DPH]]+Tabulka1[[#This Row],[Pojištění celkem]])*F29</f>
        <v>33977.960719657967</v>
      </c>
      <c r="H29" s="40">
        <v>437.5</v>
      </c>
      <c r="I29" s="40">
        <v>1466.67</v>
      </c>
      <c r="J29" s="40"/>
      <c r="K29" s="51" t="s">
        <v>303</v>
      </c>
      <c r="L29" s="40">
        <f t="shared" si="2"/>
        <v>1904.17</v>
      </c>
    </row>
    <row r="30" spans="1:12" x14ac:dyDescent="0.3">
      <c r="A30" s="38">
        <v>16</v>
      </c>
      <c r="B30" s="1">
        <v>45527</v>
      </c>
      <c r="C30" s="40">
        <v>31556.45</v>
      </c>
      <c r="D30" s="40">
        <f>Tabulka1[[#This Row],[Anuita bez DPH]]*(1+$B$10)</f>
        <v>38183.304499999998</v>
      </c>
      <c r="E30" s="38">
        <f t="shared" si="0"/>
        <v>487</v>
      </c>
      <c r="F30" s="38">
        <f t="shared" si="1"/>
        <v>0.83844488158764985</v>
      </c>
      <c r="G30" s="40">
        <f>(Tabulka1[[#This Row],[Anuita vč. DPH]]+Tabulka1[[#This Row],[Pojištění celkem]])*F30</f>
        <v>33611.137810300432</v>
      </c>
      <c r="H30" s="40">
        <v>437.5</v>
      </c>
      <c r="I30" s="40">
        <v>1466.67</v>
      </c>
      <c r="J30" s="40"/>
      <c r="K30" s="51" t="s">
        <v>303</v>
      </c>
      <c r="L30" s="40">
        <f t="shared" si="2"/>
        <v>1904.17</v>
      </c>
    </row>
    <row r="31" spans="1:12" x14ac:dyDescent="0.3">
      <c r="A31" s="38">
        <v>17</v>
      </c>
      <c r="B31" s="1">
        <v>45558</v>
      </c>
      <c r="C31" s="40">
        <v>31556.45</v>
      </c>
      <c r="D31" s="40">
        <f>Tabulka1[[#This Row],[Anuita bez DPH]]*(1+$B$10)</f>
        <v>38183.304499999998</v>
      </c>
      <c r="E31" s="38">
        <f t="shared" si="0"/>
        <v>518</v>
      </c>
      <c r="F31" s="38">
        <f t="shared" si="1"/>
        <v>0.82909307159634338</v>
      </c>
      <c r="G31" s="40">
        <f>(Tabulka1[[#This Row],[Anuita vč. DPH]]+Tabulka1[[#This Row],[Pojištění celkem]])*F31</f>
        <v>33236.24736574509</v>
      </c>
      <c r="H31" s="40">
        <v>437.5</v>
      </c>
      <c r="I31" s="40">
        <v>1466.67</v>
      </c>
      <c r="J31" s="40"/>
      <c r="K31" s="51" t="s">
        <v>303</v>
      </c>
      <c r="L31" s="40">
        <f t="shared" si="2"/>
        <v>1904.17</v>
      </c>
    </row>
    <row r="32" spans="1:12" x14ac:dyDescent="0.3">
      <c r="A32" s="38">
        <v>18</v>
      </c>
      <c r="B32" s="1">
        <v>45589</v>
      </c>
      <c r="C32" s="40">
        <v>31556.45</v>
      </c>
      <c r="D32" s="40">
        <f>Tabulka1[[#This Row],[Anuita bez DPH]]*(1+$B$10)</f>
        <v>38183.304499999998</v>
      </c>
      <c r="E32" s="38">
        <f t="shared" si="0"/>
        <v>549</v>
      </c>
      <c r="F32" s="38">
        <f t="shared" si="1"/>
        <v>0.81984556941588305</v>
      </c>
      <c r="G32" s="40">
        <f>(Tabulka1[[#This Row],[Anuita vč. DPH]]+Tabulka1[[#This Row],[Pojištění celkem]])*F32</f>
        <v>32865.538357897189</v>
      </c>
      <c r="H32" s="40">
        <v>437.5</v>
      </c>
      <c r="I32" s="40">
        <v>1466.67</v>
      </c>
      <c r="J32" s="40"/>
      <c r="K32" s="51" t="s">
        <v>303</v>
      </c>
      <c r="L32" s="40">
        <f t="shared" si="2"/>
        <v>1904.17</v>
      </c>
    </row>
    <row r="33" spans="1:12" x14ac:dyDescent="0.3">
      <c r="A33" s="38">
        <v>19</v>
      </c>
      <c r="B33" s="1">
        <v>45619</v>
      </c>
      <c r="C33" s="40">
        <v>31556.45</v>
      </c>
      <c r="D33" s="40">
        <f>Tabulka1[[#This Row],[Anuita bez DPH]]*(1+$B$10)</f>
        <v>38183.304499999998</v>
      </c>
      <c r="E33" s="38">
        <f t="shared" si="0"/>
        <v>579</v>
      </c>
      <c r="F33" s="38">
        <f t="shared" si="1"/>
        <v>0.81099459276433161</v>
      </c>
      <c r="G33" s="40">
        <f>(Tabulka1[[#This Row],[Anuita vč. DPH]]+Tabulka1[[#This Row],[Pojištění celkem]])*F33</f>
        <v>32510.725057078027</v>
      </c>
      <c r="H33" s="40">
        <v>437.5</v>
      </c>
      <c r="I33" s="40">
        <v>1466.67</v>
      </c>
      <c r="J33" s="40"/>
      <c r="K33" s="51" t="s">
        <v>303</v>
      </c>
      <c r="L33" s="40">
        <f t="shared" si="2"/>
        <v>1904.17</v>
      </c>
    </row>
    <row r="34" spans="1:12" x14ac:dyDescent="0.3">
      <c r="A34" s="38">
        <v>20</v>
      </c>
      <c r="B34" s="1">
        <v>45650</v>
      </c>
      <c r="C34" s="40">
        <v>31556.45</v>
      </c>
      <c r="D34" s="40">
        <f>Tabulka1[[#This Row],[Anuita bez DPH]]*(1+$B$10)</f>
        <v>38183.304499999998</v>
      </c>
      <c r="E34" s="38">
        <f t="shared" si="0"/>
        <v>610</v>
      </c>
      <c r="F34" s="38">
        <f t="shared" si="1"/>
        <v>0.80194895660856225</v>
      </c>
      <c r="G34" s="40">
        <f>(Tabulka1[[#This Row],[Anuita vč. DPH]]+Tabulka1[[#This Row],[Pojištění celkem]])*F34</f>
        <v>32148.108348347341</v>
      </c>
      <c r="H34" s="40">
        <v>437.5</v>
      </c>
      <c r="I34" s="40">
        <v>1466.67</v>
      </c>
      <c r="J34" s="40"/>
      <c r="K34" s="51" t="s">
        <v>303</v>
      </c>
      <c r="L34" s="40">
        <f t="shared" si="2"/>
        <v>1904.17</v>
      </c>
    </row>
    <row r="35" spans="1:12" x14ac:dyDescent="0.3">
      <c r="A35" s="38">
        <v>21</v>
      </c>
      <c r="B35" s="1">
        <v>45680</v>
      </c>
      <c r="C35" s="40">
        <v>31556.45</v>
      </c>
      <c r="D35" s="40">
        <f>Tabulka1[[#This Row],[Anuita bez DPH]]*(1+$B$10)</f>
        <v>38183.304499999998</v>
      </c>
      <c r="E35" s="38">
        <f t="shared" si="0"/>
        <v>640</v>
      </c>
      <c r="F35" s="38">
        <f t="shared" si="1"/>
        <v>0.79329119012732663</v>
      </c>
      <c r="G35" s="40">
        <f>(Tabulka1[[#This Row],[Anuita vč. DPH]]+Tabulka1[[#This Row],[Pojištění celkem]])*F35</f>
        <v>31801.040355303856</v>
      </c>
      <c r="H35" s="40">
        <v>437.5</v>
      </c>
      <c r="I35" s="40">
        <v>1466.67</v>
      </c>
      <c r="J35" s="40"/>
      <c r="K35" s="51" t="s">
        <v>303</v>
      </c>
      <c r="L35" s="40">
        <f t="shared" si="2"/>
        <v>1904.17</v>
      </c>
    </row>
    <row r="36" spans="1:12" x14ac:dyDescent="0.3">
      <c r="A36" s="38">
        <v>22</v>
      </c>
      <c r="B36" s="1">
        <v>45711</v>
      </c>
      <c r="C36" s="40">
        <v>31556.45</v>
      </c>
      <c r="D36" s="40">
        <f>Tabulka1[[#This Row],[Anuita bez DPH]]*(1+$B$10)</f>
        <v>38183.304499999998</v>
      </c>
      <c r="E36" s="38">
        <f t="shared" si="0"/>
        <v>671</v>
      </c>
      <c r="F36" s="38">
        <f t="shared" si="1"/>
        <v>0.78444301341259703</v>
      </c>
      <c r="G36" s="40">
        <f>(Tabulka1[[#This Row],[Anuita vč. DPH]]+Tabulka1[[#This Row],[Pojištění celkem]])*F36</f>
        <v>31446.33929688064</v>
      </c>
      <c r="H36" s="40">
        <v>437.5</v>
      </c>
      <c r="I36" s="40">
        <v>1466.67</v>
      </c>
      <c r="J36" s="40"/>
      <c r="K36" s="51" t="s">
        <v>303</v>
      </c>
      <c r="L36" s="40">
        <f t="shared" si="2"/>
        <v>1904.17</v>
      </c>
    </row>
    <row r="37" spans="1:12" x14ac:dyDescent="0.3">
      <c r="A37" s="38">
        <v>23</v>
      </c>
      <c r="B37" s="1">
        <v>45742</v>
      </c>
      <c r="C37" s="40">
        <v>31556.45</v>
      </c>
      <c r="D37" s="40">
        <f>Tabulka1[[#This Row],[Anuita bez DPH]]*(1+$B$10)</f>
        <v>38183.304499999998</v>
      </c>
      <c r="E37" s="38">
        <f t="shared" si="0"/>
        <v>702</v>
      </c>
      <c r="F37" s="38">
        <f t="shared" si="1"/>
        <v>0.77569352710581518</v>
      </c>
      <c r="G37" s="40">
        <f>(Tabulka1[[#This Row],[Anuita vč. DPH]]+Tabulka1[[#This Row],[Pojištění celkem]])*F37</f>
        <v>31095.594487669423</v>
      </c>
      <c r="H37" s="40">
        <v>437.5</v>
      </c>
      <c r="I37" s="40">
        <v>1466.67</v>
      </c>
      <c r="J37" s="40"/>
      <c r="K37" s="51" t="s">
        <v>303</v>
      </c>
      <c r="L37" s="40">
        <f t="shared" si="2"/>
        <v>1904.17</v>
      </c>
    </row>
    <row r="38" spans="1:12" x14ac:dyDescent="0.3">
      <c r="A38" s="38">
        <v>24</v>
      </c>
      <c r="B38" s="1">
        <v>45770</v>
      </c>
      <c r="C38" s="40">
        <v>31556.45</v>
      </c>
      <c r="D38" s="40">
        <f>Tabulka1[[#This Row],[Anuita bez DPH]]*(1+$B$10)</f>
        <v>38183.304499999998</v>
      </c>
      <c r="E38" s="38">
        <f t="shared" si="0"/>
        <v>730</v>
      </c>
      <c r="F38" s="38">
        <f t="shared" si="1"/>
        <v>0.767874675929758</v>
      </c>
      <c r="G38" s="40">
        <f>(Tabulka1[[#This Row],[Anuita vč. DPH]]+Tabulka1[[#This Row],[Pojištění celkem]])*F38</f>
        <v>30782.156490529935</v>
      </c>
      <c r="H38" s="40">
        <v>437.5</v>
      </c>
      <c r="I38" s="40">
        <v>1466.67</v>
      </c>
      <c r="J38" s="40"/>
      <c r="K38" s="51" t="s">
        <v>303</v>
      </c>
      <c r="L38" s="40">
        <f t="shared" si="2"/>
        <v>1904.17</v>
      </c>
    </row>
    <row r="39" spans="1:12" x14ac:dyDescent="0.3">
      <c r="G39"/>
      <c r="H39"/>
      <c r="I39" s="43"/>
      <c r="J39" s="43"/>
      <c r="K39" s="43"/>
      <c r="L39" s="43"/>
    </row>
    <row r="40" spans="1:12" x14ac:dyDescent="0.3">
      <c r="A40" s="27" t="s">
        <v>311</v>
      </c>
      <c r="B40" s="47">
        <v>45800</v>
      </c>
      <c r="C40" s="46">
        <f>B8</f>
        <v>5000</v>
      </c>
      <c r="D40" s="34">
        <f>C40*(1+$B$10)</f>
        <v>6050</v>
      </c>
      <c r="E40" s="26">
        <f t="shared" si="0"/>
        <v>760</v>
      </c>
      <c r="F40" s="26">
        <f>1/POWER((1+$D$2),(E40/365.25))</f>
        <v>0.7595847722192165</v>
      </c>
      <c r="G40" s="34">
        <f>D40*F40</f>
        <v>4595.4878719262597</v>
      </c>
    </row>
    <row r="41" spans="1:12" x14ac:dyDescent="0.3">
      <c r="A41" s="27" t="s">
        <v>21</v>
      </c>
      <c r="B41" s="47">
        <v>45800</v>
      </c>
      <c r="C41" s="46">
        <f>B9</f>
        <v>15000</v>
      </c>
      <c r="D41" s="34">
        <f>C41*(1+$B$10)</f>
        <v>18150</v>
      </c>
      <c r="E41" s="26">
        <f t="shared" si="0"/>
        <v>760</v>
      </c>
      <c r="F41" s="26">
        <f>1/POWER((1+$D$2),(E41/365.25))</f>
        <v>0.7595847722192165</v>
      </c>
      <c r="G41" s="34">
        <f>D41*F41</f>
        <v>13786.463615778779</v>
      </c>
    </row>
    <row r="42" spans="1:12" x14ac:dyDescent="0.3">
      <c r="A42" s="27" t="s">
        <v>306</v>
      </c>
      <c r="B42" s="26"/>
      <c r="C42" s="34"/>
      <c r="D42" s="34"/>
      <c r="E42" s="26"/>
      <c r="F42" s="26"/>
      <c r="G42" s="46">
        <f>SUM(G13:G41)</f>
        <v>968000.00008333346</v>
      </c>
    </row>
  </sheetData>
  <mergeCells count="1">
    <mergeCell ref="E2:E3"/>
  </mergeCells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1AEF-8E49-4C0E-B399-E9C08039BD0F}">
  <sheetPr>
    <tabColor theme="7"/>
  </sheetPr>
  <dimension ref="A1:O54"/>
  <sheetViews>
    <sheetView zoomScaleNormal="100" workbookViewId="0">
      <selection activeCell="J6" sqref="J6"/>
    </sheetView>
  </sheetViews>
  <sheetFormatPr defaultRowHeight="14.4" x14ac:dyDescent="0.3"/>
  <cols>
    <col min="1" max="1" width="31.44140625" customWidth="1"/>
    <col min="2" max="2" width="22.109375" customWidth="1"/>
    <col min="3" max="3" width="19" bestFit="1" customWidth="1"/>
    <col min="4" max="4" width="15.5546875" customWidth="1"/>
    <col min="5" max="5" width="15" customWidth="1"/>
    <col min="6" max="6" width="19.6640625" customWidth="1"/>
    <col min="7" max="7" width="22.6640625" style="33" customWidth="1"/>
    <col min="8" max="9" width="13.33203125" style="33" bestFit="1" customWidth="1"/>
    <col min="10" max="11" width="13.109375" style="33" customWidth="1"/>
    <col min="12" max="12" width="19.6640625" style="33" bestFit="1" customWidth="1"/>
  </cols>
  <sheetData>
    <row r="1" spans="1:15" ht="18" x14ac:dyDescent="0.35">
      <c r="A1" s="22" t="s">
        <v>0</v>
      </c>
      <c r="B1" s="32" t="s">
        <v>313</v>
      </c>
      <c r="C1" s="20" t="s">
        <v>294</v>
      </c>
      <c r="O1" s="20" t="s">
        <v>300</v>
      </c>
    </row>
    <row r="2" spans="1:15" ht="15.6" x14ac:dyDescent="0.3">
      <c r="A2" s="22" t="s">
        <v>3</v>
      </c>
      <c r="B2" s="22">
        <v>36</v>
      </c>
      <c r="C2" s="29" t="s">
        <v>4</v>
      </c>
      <c r="D2" s="41">
        <v>0.19021266283464233</v>
      </c>
      <c r="E2" s="52">
        <f>D3-D2</f>
        <v>-1.2662834642324095E-5</v>
      </c>
    </row>
    <row r="3" spans="1:15" ht="15.6" x14ac:dyDescent="0.3">
      <c r="A3" s="22" t="s">
        <v>307</v>
      </c>
      <c r="B3" s="48">
        <v>500000</v>
      </c>
      <c r="C3" s="29" t="s">
        <v>302</v>
      </c>
      <c r="D3" s="42">
        <v>0.19020000000000001</v>
      </c>
      <c r="E3" s="52"/>
    </row>
    <row r="4" spans="1:15" x14ac:dyDescent="0.3">
      <c r="A4" s="22" t="s">
        <v>308</v>
      </c>
      <c r="B4" s="49">
        <f>B3*(1+B10)</f>
        <v>605000</v>
      </c>
    </row>
    <row r="5" spans="1:15" x14ac:dyDescent="0.3">
      <c r="A5" s="22" t="s">
        <v>7</v>
      </c>
      <c r="B5" s="23">
        <v>45037</v>
      </c>
      <c r="C5" s="29" t="s">
        <v>8</v>
      </c>
      <c r="D5" s="31">
        <f>B4-G54</f>
        <v>-7.0885289460420609E-7</v>
      </c>
    </row>
    <row r="6" spans="1:15" x14ac:dyDescent="0.3">
      <c r="A6" s="22" t="s">
        <v>309</v>
      </c>
      <c r="B6" s="48">
        <v>5000</v>
      </c>
    </row>
    <row r="7" spans="1:15" x14ac:dyDescent="0.3">
      <c r="A7" s="22" t="s">
        <v>293</v>
      </c>
      <c r="B7" s="48">
        <v>50000</v>
      </c>
    </row>
    <row r="8" spans="1:15" x14ac:dyDescent="0.3">
      <c r="A8" s="22" t="s">
        <v>310</v>
      </c>
      <c r="B8" s="48">
        <v>10000</v>
      </c>
    </row>
    <row r="9" spans="1:15" x14ac:dyDescent="0.3">
      <c r="A9" s="22" t="s">
        <v>312</v>
      </c>
      <c r="B9" s="24">
        <v>0</v>
      </c>
    </row>
    <row r="10" spans="1:15" x14ac:dyDescent="0.3">
      <c r="A10" s="22" t="s">
        <v>291</v>
      </c>
      <c r="B10" s="30">
        <v>0.21</v>
      </c>
    </row>
    <row r="12" spans="1:15" x14ac:dyDescent="0.3">
      <c r="A12" t="s">
        <v>292</v>
      </c>
      <c r="B12" t="s">
        <v>42</v>
      </c>
      <c r="C12" s="25" t="s">
        <v>55</v>
      </c>
      <c r="D12" s="35" t="s">
        <v>298</v>
      </c>
      <c r="E12" t="s">
        <v>13</v>
      </c>
      <c r="F12" t="s">
        <v>14</v>
      </c>
      <c r="G12" s="43" t="s">
        <v>290</v>
      </c>
      <c r="H12" s="44" t="s">
        <v>16</v>
      </c>
      <c r="I12" s="44" t="s">
        <v>299</v>
      </c>
      <c r="J12" s="44" t="s">
        <v>18</v>
      </c>
      <c r="K12" s="44" t="s">
        <v>301</v>
      </c>
      <c r="L12" s="45" t="s">
        <v>305</v>
      </c>
    </row>
    <row r="13" spans="1:15" x14ac:dyDescent="0.3">
      <c r="A13" s="36" t="s">
        <v>296</v>
      </c>
      <c r="B13" s="37">
        <f>B5</f>
        <v>45037</v>
      </c>
      <c r="C13" s="34"/>
      <c r="D13" s="34">
        <f>(B6)*(1+$B$10)</f>
        <v>6050</v>
      </c>
      <c r="E13" s="26">
        <f t="shared" ref="E13:E53" si="0">B13-$B$5</f>
        <v>0</v>
      </c>
      <c r="F13" s="26">
        <f t="shared" ref="F13:F50" si="1">1/POWER((1+$D$2),(E13/365.25))</f>
        <v>1</v>
      </c>
      <c r="G13" s="34">
        <f>(D13+H13+I13+J13)*F13</f>
        <v>6050</v>
      </c>
      <c r="H13" s="34"/>
      <c r="I13" s="34"/>
      <c r="J13" s="34"/>
      <c r="K13" s="34"/>
      <c r="L13" s="34"/>
    </row>
    <row r="14" spans="1:15" x14ac:dyDescent="0.3">
      <c r="A14" s="36" t="s">
        <v>297</v>
      </c>
      <c r="B14" s="37">
        <f>B5</f>
        <v>45037</v>
      </c>
      <c r="C14" s="34"/>
      <c r="D14" s="34">
        <f>(B7)*(1+$B$10)</f>
        <v>60500</v>
      </c>
      <c r="E14" s="26">
        <f t="shared" si="0"/>
        <v>0</v>
      </c>
      <c r="F14" s="26">
        <f>1/POWER((1+$D$2),(E14/365.25))</f>
        <v>1</v>
      </c>
      <c r="G14" s="34">
        <f>(D14+H14+I14+J14)*F14</f>
        <v>60500</v>
      </c>
      <c r="H14" s="34"/>
      <c r="I14" s="34"/>
      <c r="J14" s="34"/>
      <c r="K14" s="50"/>
      <c r="L14" s="34"/>
    </row>
    <row r="15" spans="1:15" x14ac:dyDescent="0.3">
      <c r="A15" s="38">
        <v>1</v>
      </c>
      <c r="B15" s="1">
        <v>45067</v>
      </c>
      <c r="C15" s="28">
        <v>13368.81</v>
      </c>
      <c r="D15" s="40">
        <f>Tabulka134[[#This Row],[Anuita bez DPH]]*(1+$B$10)</f>
        <v>16176.2601</v>
      </c>
      <c r="E15" s="38">
        <f t="shared" si="0"/>
        <v>30</v>
      </c>
      <c r="F15" s="38">
        <f t="shared" si="1"/>
        <v>0.98579937082363733</v>
      </c>
      <c r="G15" s="40">
        <f>(Tabulka134[[#This Row],[Anuita vč. DPH]]+Tabulka134[[#This Row],[Pojištění celkem]])*F15</f>
        <v>18819.757480742333</v>
      </c>
      <c r="H15" s="33">
        <v>1219.17</v>
      </c>
      <c r="I15" s="33">
        <v>1147.92</v>
      </c>
      <c r="J15" s="33">
        <v>41.67</v>
      </c>
      <c r="K15" s="51" t="s">
        <v>304</v>
      </c>
      <c r="L15" s="40">
        <f>IF(K15="ANO",(H15+I15+J15)*(1+$B$10),(H15+I15+J15))</f>
        <v>2914.5996</v>
      </c>
    </row>
    <row r="16" spans="1:15" x14ac:dyDescent="0.3">
      <c r="A16" s="38">
        <v>2</v>
      </c>
      <c r="B16" s="1">
        <v>45097</v>
      </c>
      <c r="C16" s="28">
        <v>13368.81</v>
      </c>
      <c r="D16" s="40">
        <f>Tabulka134[[#This Row],[Anuita bez DPH]]*(1+$B$10)</f>
        <v>16176.2601</v>
      </c>
      <c r="E16" s="38">
        <f t="shared" si="0"/>
        <v>60</v>
      </c>
      <c r="F16" s="38">
        <f t="shared" si="1"/>
        <v>0.97180039951627928</v>
      </c>
      <c r="G16" s="40">
        <f>(Tabulka134[[#This Row],[Anuita vč. DPH]]+Tabulka134[[#This Row],[Pojištění celkem]])*F16</f>
        <v>18552.505083569238</v>
      </c>
      <c r="H16" s="33">
        <v>1219.17</v>
      </c>
      <c r="I16" s="33">
        <v>1147.92</v>
      </c>
      <c r="J16" s="33">
        <v>41.67</v>
      </c>
      <c r="K16" s="51" t="s">
        <v>304</v>
      </c>
      <c r="L16" s="40">
        <f t="shared" ref="L16:L50" si="2">IF(K16="ANO",(H16+I16+J16)*(1+$B$10),(H16+I16+J16))</f>
        <v>2914.5996</v>
      </c>
    </row>
    <row r="17" spans="1:12" x14ac:dyDescent="0.3">
      <c r="A17" s="38">
        <v>3</v>
      </c>
      <c r="B17" s="1">
        <v>45128</v>
      </c>
      <c r="C17" s="28">
        <v>13368.81</v>
      </c>
      <c r="D17" s="40">
        <f>Tabulka134[[#This Row],[Anuita bez DPH]]*(1+$B$10)</f>
        <v>16176.2601</v>
      </c>
      <c r="E17" s="38">
        <f t="shared" si="0"/>
        <v>91</v>
      </c>
      <c r="F17" s="38">
        <f t="shared" si="1"/>
        <v>0.95754360711745656</v>
      </c>
      <c r="G17" s="40">
        <f>(Tabulka134[[#This Row],[Anuita vč. DPH]]+Tabulka134[[#This Row],[Pojištění celkem]])*F17</f>
        <v>18280.330660111285</v>
      </c>
      <c r="H17" s="33">
        <v>1219.17</v>
      </c>
      <c r="I17" s="33">
        <v>1147.92</v>
      </c>
      <c r="J17" s="33">
        <v>41.67</v>
      </c>
      <c r="K17" s="51" t="s">
        <v>304</v>
      </c>
      <c r="L17" s="40">
        <f t="shared" si="2"/>
        <v>2914.5996</v>
      </c>
    </row>
    <row r="18" spans="1:12" x14ac:dyDescent="0.3">
      <c r="A18" s="38">
        <v>4</v>
      </c>
      <c r="B18" s="1">
        <v>45158</v>
      </c>
      <c r="C18" s="28">
        <v>13368.81</v>
      </c>
      <c r="D18" s="40">
        <f>Tabulka134[[#This Row],[Anuita bez DPH]]*(1+$B$10)</f>
        <v>16176.2601</v>
      </c>
      <c r="E18" s="38">
        <f t="shared" si="0"/>
        <v>121</v>
      </c>
      <c r="F18" s="38">
        <f t="shared" si="1"/>
        <v>0.94394588543258495</v>
      </c>
      <c r="G18" s="40">
        <f>(Tabulka134[[#This Row],[Anuita vč. DPH]]+Tabulka134[[#This Row],[Pojištění celkem]])*F18</f>
        <v>18020.738463185753</v>
      </c>
      <c r="H18" s="33">
        <v>1219.17</v>
      </c>
      <c r="I18" s="33">
        <v>1147.92</v>
      </c>
      <c r="J18" s="33">
        <v>41.67</v>
      </c>
      <c r="K18" s="51" t="s">
        <v>304</v>
      </c>
      <c r="L18" s="40">
        <f t="shared" si="2"/>
        <v>2914.5996</v>
      </c>
    </row>
    <row r="19" spans="1:12" x14ac:dyDescent="0.3">
      <c r="A19" s="38">
        <v>5</v>
      </c>
      <c r="B19" s="1">
        <v>45189</v>
      </c>
      <c r="C19" s="28">
        <v>13368.81</v>
      </c>
      <c r="D19" s="40">
        <f>Tabulka134[[#This Row],[Anuita bez DPH]]*(1+$B$10)</f>
        <v>16176.2601</v>
      </c>
      <c r="E19" s="38">
        <f t="shared" si="0"/>
        <v>152</v>
      </c>
      <c r="F19" s="38">
        <f t="shared" si="1"/>
        <v>0.93009773252892913</v>
      </c>
      <c r="G19" s="40">
        <f>(Tabulka134[[#This Row],[Anuita vč. DPH]]+Tabulka134[[#This Row],[Pojištění celkem]])*F19</f>
        <v>17756.365318997912</v>
      </c>
      <c r="H19" s="33">
        <v>1219.17</v>
      </c>
      <c r="I19" s="33">
        <v>1147.92</v>
      </c>
      <c r="J19" s="33">
        <v>41.67</v>
      </c>
      <c r="K19" s="51" t="s">
        <v>304</v>
      </c>
      <c r="L19" s="40">
        <f t="shared" si="2"/>
        <v>2914.5996</v>
      </c>
    </row>
    <row r="20" spans="1:12" x14ac:dyDescent="0.3">
      <c r="A20" s="38">
        <v>6</v>
      </c>
      <c r="B20" s="1">
        <v>45220</v>
      </c>
      <c r="C20" s="28">
        <v>13368.81</v>
      </c>
      <c r="D20" s="40">
        <f>Tabulka134[[#This Row],[Anuita bez DPH]]*(1+$B$10)</f>
        <v>16176.2601</v>
      </c>
      <c r="E20" s="38">
        <f t="shared" si="0"/>
        <v>183</v>
      </c>
      <c r="F20" s="38">
        <f t="shared" si="1"/>
        <v>0.91645273887603385</v>
      </c>
      <c r="G20" s="40">
        <f>(Tabulka134[[#This Row],[Anuita vč. DPH]]+Tabulka134[[#This Row],[Pojištění celkem]])*F20</f>
        <v>17495.870659563097</v>
      </c>
      <c r="H20" s="33">
        <v>1219.17</v>
      </c>
      <c r="I20" s="33">
        <v>1147.92</v>
      </c>
      <c r="J20" s="33">
        <v>41.67</v>
      </c>
      <c r="K20" s="51" t="s">
        <v>304</v>
      </c>
      <c r="L20" s="40">
        <f t="shared" si="2"/>
        <v>2914.5996</v>
      </c>
    </row>
    <row r="21" spans="1:12" x14ac:dyDescent="0.3">
      <c r="A21" s="38">
        <v>7</v>
      </c>
      <c r="B21" s="1">
        <v>45250</v>
      </c>
      <c r="C21" s="28">
        <v>13368.81</v>
      </c>
      <c r="D21" s="40">
        <f>Tabulka134[[#This Row],[Anuita bez DPH]]*(1+$B$10)</f>
        <v>16176.2601</v>
      </c>
      <c r="E21" s="38">
        <f t="shared" si="0"/>
        <v>213</v>
      </c>
      <c r="F21" s="38">
        <f t="shared" si="1"/>
        <v>0.90343853337359337</v>
      </c>
      <c r="G21" s="40">
        <f>(Tabulka134[[#This Row],[Anuita vč. DPH]]+Tabulka134[[#This Row],[Pojištění celkem]])*F21</f>
        <v>17247.418288209039</v>
      </c>
      <c r="H21" s="33">
        <v>1219.17</v>
      </c>
      <c r="I21" s="33">
        <v>1147.92</v>
      </c>
      <c r="J21" s="33">
        <v>41.67</v>
      </c>
      <c r="K21" s="51" t="s">
        <v>304</v>
      </c>
      <c r="L21" s="40">
        <f t="shared" si="2"/>
        <v>2914.5996</v>
      </c>
    </row>
    <row r="22" spans="1:12" x14ac:dyDescent="0.3">
      <c r="A22" s="38">
        <v>8</v>
      </c>
      <c r="B22" s="1">
        <v>45281</v>
      </c>
      <c r="C22" s="28">
        <v>13368.81</v>
      </c>
      <c r="D22" s="40">
        <f>Tabulka134[[#This Row],[Anuita bez DPH]]*(1+$B$10)</f>
        <v>16176.2601</v>
      </c>
      <c r="E22" s="38">
        <f t="shared" si="0"/>
        <v>244</v>
      </c>
      <c r="F22" s="38">
        <f t="shared" si="1"/>
        <v>0.89018464335480441</v>
      </c>
      <c r="G22" s="40">
        <f>(Tabulka134[[#This Row],[Anuita vč. DPH]]+Tabulka134[[#This Row],[Pojištění celkem]])*F22</f>
        <v>16994.390133381108</v>
      </c>
      <c r="H22" s="33">
        <v>1219.17</v>
      </c>
      <c r="I22" s="33">
        <v>1147.92</v>
      </c>
      <c r="J22" s="33">
        <v>41.67</v>
      </c>
      <c r="K22" s="51" t="s">
        <v>304</v>
      </c>
      <c r="L22" s="40">
        <f t="shared" si="2"/>
        <v>2914.5996</v>
      </c>
    </row>
    <row r="23" spans="1:12" x14ac:dyDescent="0.3">
      <c r="A23" s="38">
        <v>9</v>
      </c>
      <c r="B23" s="1">
        <v>45311</v>
      </c>
      <c r="C23" s="28">
        <v>13368.81</v>
      </c>
      <c r="D23" s="40">
        <f>Tabulka134[[#This Row],[Anuita bez DPH]]*(1+$B$10)</f>
        <v>16176.2601</v>
      </c>
      <c r="E23" s="38">
        <f t="shared" si="0"/>
        <v>274</v>
      </c>
      <c r="F23" s="38">
        <f t="shared" si="1"/>
        <v>0.87754346133603001</v>
      </c>
      <c r="G23" s="40">
        <f>(Tabulka134[[#This Row],[Anuita vč. DPH]]+Tabulka134[[#This Row],[Pojištění celkem]])*F23</f>
        <v>16753.059101018524</v>
      </c>
      <c r="H23" s="33">
        <v>1219.17</v>
      </c>
      <c r="I23" s="33">
        <v>1147.92</v>
      </c>
      <c r="J23" s="33">
        <v>41.67</v>
      </c>
      <c r="K23" s="51" t="s">
        <v>304</v>
      </c>
      <c r="L23" s="40">
        <f t="shared" si="2"/>
        <v>2914.5996</v>
      </c>
    </row>
    <row r="24" spans="1:12" x14ac:dyDescent="0.3">
      <c r="A24" s="38">
        <v>10</v>
      </c>
      <c r="B24" s="1">
        <v>45342</v>
      </c>
      <c r="C24" s="28">
        <v>13368.81</v>
      </c>
      <c r="D24" s="40">
        <f>Tabulka134[[#This Row],[Anuita bez DPH]]*(1+$B$10)</f>
        <v>16176.2601</v>
      </c>
      <c r="E24" s="38">
        <f t="shared" si="0"/>
        <v>305</v>
      </c>
      <c r="F24" s="38">
        <f t="shared" si="1"/>
        <v>0.86466946482868201</v>
      </c>
      <c r="G24" s="40">
        <f>(Tabulka134[[#This Row],[Anuita vč. DPH]]+Tabulka134[[#This Row],[Pojištění celkem]])*F24</f>
        <v>16507.283439918454</v>
      </c>
      <c r="H24" s="33">
        <v>1219.17</v>
      </c>
      <c r="I24" s="33">
        <v>1147.92</v>
      </c>
      <c r="J24" s="33">
        <v>41.67</v>
      </c>
      <c r="K24" s="51" t="s">
        <v>304</v>
      </c>
      <c r="L24" s="40">
        <f t="shared" si="2"/>
        <v>2914.5996</v>
      </c>
    </row>
    <row r="25" spans="1:12" x14ac:dyDescent="0.3">
      <c r="A25" s="38">
        <v>11</v>
      </c>
      <c r="B25" s="1">
        <v>45373</v>
      </c>
      <c r="C25" s="28">
        <v>13368.81</v>
      </c>
      <c r="D25" s="40">
        <f>Tabulka134[[#This Row],[Anuita bez DPH]]*(1+$B$10)</f>
        <v>16176.2601</v>
      </c>
      <c r="E25" s="38">
        <f t="shared" si="0"/>
        <v>336</v>
      </c>
      <c r="F25" s="38">
        <f t="shared" si="1"/>
        <v>0.85198433621605774</v>
      </c>
      <c r="G25" s="40">
        <f>(Tabulka134[[#This Row],[Anuita vč. DPH]]+Tabulka134[[#This Row],[Pojištění celkem]])*F25</f>
        <v>16265.113429298388</v>
      </c>
      <c r="H25" s="33">
        <v>1219.17</v>
      </c>
      <c r="I25" s="33">
        <v>1147.92</v>
      </c>
      <c r="J25" s="33">
        <v>41.67</v>
      </c>
      <c r="K25" s="51" t="s">
        <v>304</v>
      </c>
      <c r="L25" s="40">
        <f t="shared" si="2"/>
        <v>2914.5996</v>
      </c>
    </row>
    <row r="26" spans="1:12" x14ac:dyDescent="0.3">
      <c r="A26" s="38">
        <v>12</v>
      </c>
      <c r="B26" s="1">
        <v>45402</v>
      </c>
      <c r="C26" s="28">
        <v>13368.81</v>
      </c>
      <c r="D26" s="40">
        <f>Tabulka134[[#This Row],[Anuita bez DPH]]*(1+$B$10)</f>
        <v>16176.2601</v>
      </c>
      <c r="E26" s="38">
        <f t="shared" si="0"/>
        <v>365</v>
      </c>
      <c r="F26" s="38">
        <f t="shared" si="1"/>
        <v>0.84028613137004049</v>
      </c>
      <c r="G26" s="40">
        <f>(Tabulka134[[#This Row],[Anuita vč. DPH]]+Tabulka134[[#This Row],[Pojištění celkem]])*F26</f>
        <v>16041.784641841212</v>
      </c>
      <c r="H26" s="33">
        <v>1219.17</v>
      </c>
      <c r="I26" s="33">
        <v>1147.92</v>
      </c>
      <c r="J26" s="33">
        <v>41.67</v>
      </c>
      <c r="K26" s="51" t="s">
        <v>304</v>
      </c>
      <c r="L26" s="40">
        <f t="shared" si="2"/>
        <v>2914.5996</v>
      </c>
    </row>
    <row r="27" spans="1:12" x14ac:dyDescent="0.3">
      <c r="A27" s="38">
        <v>13</v>
      </c>
      <c r="B27" s="1">
        <v>45433</v>
      </c>
      <c r="C27" s="28">
        <v>13368.81</v>
      </c>
      <c r="D27" s="40">
        <f>Tabulka134[[#This Row],[Anuita bez DPH]]*(1+$B$10)</f>
        <v>16176.2601</v>
      </c>
      <c r="E27" s="38">
        <f t="shared" si="0"/>
        <v>396</v>
      </c>
      <c r="F27" s="38">
        <f t="shared" si="1"/>
        <v>0.8279587183163768</v>
      </c>
      <c r="G27" s="40">
        <f>(Tabulka134[[#This Row],[Anuita vč. DPH]]+Tabulka134[[#This Row],[Pojištění celkem]])*F27</f>
        <v>15806.443728769771</v>
      </c>
      <c r="H27" s="33">
        <v>1219.17</v>
      </c>
      <c r="I27" s="33">
        <v>1147.92</v>
      </c>
      <c r="J27" s="33">
        <v>41.67</v>
      </c>
      <c r="K27" s="51" t="s">
        <v>304</v>
      </c>
      <c r="L27" s="40">
        <f t="shared" si="2"/>
        <v>2914.5996</v>
      </c>
    </row>
    <row r="28" spans="1:12" x14ac:dyDescent="0.3">
      <c r="A28" s="38">
        <v>14</v>
      </c>
      <c r="B28" s="1">
        <v>45463</v>
      </c>
      <c r="C28" s="28">
        <v>13368.81</v>
      </c>
      <c r="D28" s="40">
        <f>Tabulka134[[#This Row],[Anuita bez DPH]]*(1+$B$10)</f>
        <v>16176.2601</v>
      </c>
      <c r="E28" s="38">
        <f t="shared" si="0"/>
        <v>426</v>
      </c>
      <c r="F28" s="38">
        <f t="shared" si="1"/>
        <v>0.81620118358422955</v>
      </c>
      <c r="G28" s="40">
        <f>(Tabulka134[[#This Row],[Anuita vč. DPH]]+Tabulka134[[#This Row],[Pojištění celkem]])*F28</f>
        <v>15581.982282780471</v>
      </c>
      <c r="H28" s="33">
        <v>1219.17</v>
      </c>
      <c r="I28" s="33">
        <v>1147.92</v>
      </c>
      <c r="J28" s="33">
        <v>41.67</v>
      </c>
      <c r="K28" s="51" t="s">
        <v>304</v>
      </c>
      <c r="L28" s="40">
        <f t="shared" si="2"/>
        <v>2914.5996</v>
      </c>
    </row>
    <row r="29" spans="1:12" x14ac:dyDescent="0.3">
      <c r="A29" s="38">
        <v>15</v>
      </c>
      <c r="B29" s="1">
        <v>45494</v>
      </c>
      <c r="C29" s="28">
        <v>13368.81</v>
      </c>
      <c r="D29" s="40">
        <f>Tabulka134[[#This Row],[Anuita bez DPH]]*(1+$B$10)</f>
        <v>16176.2601</v>
      </c>
      <c r="E29" s="38">
        <f t="shared" si="0"/>
        <v>457</v>
      </c>
      <c r="F29" s="38">
        <f t="shared" si="1"/>
        <v>0.80422710862415969</v>
      </c>
      <c r="G29" s="40">
        <f>(Tabulka134[[#This Row],[Anuita vč. DPH]]+Tabulka134[[#This Row],[Pojištění celkem]])*F29</f>
        <v>15353.386897680493</v>
      </c>
      <c r="H29" s="33">
        <v>1219.17</v>
      </c>
      <c r="I29" s="33">
        <v>1147.92</v>
      </c>
      <c r="J29" s="33">
        <v>41.67</v>
      </c>
      <c r="K29" s="51" t="s">
        <v>304</v>
      </c>
      <c r="L29" s="40">
        <f t="shared" si="2"/>
        <v>2914.5996</v>
      </c>
    </row>
    <row r="30" spans="1:12" x14ac:dyDescent="0.3">
      <c r="A30" s="38">
        <v>16</v>
      </c>
      <c r="B30" s="1">
        <v>45524</v>
      </c>
      <c r="C30" s="28">
        <v>13368.81</v>
      </c>
      <c r="D30" s="40">
        <f>Tabulka134[[#This Row],[Anuita bez DPH]]*(1+$B$10)</f>
        <v>16176.2601</v>
      </c>
      <c r="E30" s="38">
        <f t="shared" si="0"/>
        <v>487</v>
      </c>
      <c r="F30" s="38">
        <f t="shared" si="1"/>
        <v>0.79280657768100959</v>
      </c>
      <c r="G30" s="40">
        <f>(Tabulka134[[#This Row],[Anuita vč. DPH]]+Tabulka134[[#This Row],[Pojištění celkem]])*F30</f>
        <v>15135.359143745307</v>
      </c>
      <c r="H30" s="33">
        <v>1219.17</v>
      </c>
      <c r="I30" s="33">
        <v>1147.92</v>
      </c>
      <c r="J30" s="33">
        <v>41.67</v>
      </c>
      <c r="K30" s="51" t="s">
        <v>304</v>
      </c>
      <c r="L30" s="40">
        <f t="shared" si="2"/>
        <v>2914.5996</v>
      </c>
    </row>
    <row r="31" spans="1:12" x14ac:dyDescent="0.3">
      <c r="A31" s="38">
        <v>17</v>
      </c>
      <c r="B31" s="1">
        <v>45555</v>
      </c>
      <c r="C31" s="28">
        <v>13368.81</v>
      </c>
      <c r="D31" s="40">
        <f>Tabulka134[[#This Row],[Anuita bez DPH]]*(1+$B$10)</f>
        <v>16176.2601</v>
      </c>
      <c r="E31" s="38">
        <f t="shared" si="0"/>
        <v>518</v>
      </c>
      <c r="F31" s="38">
        <f t="shared" si="1"/>
        <v>0.78117571315775436</v>
      </c>
      <c r="G31" s="40">
        <f>(Tabulka134[[#This Row],[Anuita vč. DPH]]+Tabulka134[[#This Row],[Pojištění celkem]])*F31</f>
        <v>14913.315940942133</v>
      </c>
      <c r="H31" s="33">
        <v>1219.17</v>
      </c>
      <c r="I31" s="33">
        <v>1147.92</v>
      </c>
      <c r="J31" s="33">
        <v>41.67</v>
      </c>
      <c r="K31" s="51" t="s">
        <v>304</v>
      </c>
      <c r="L31" s="40">
        <f t="shared" si="2"/>
        <v>2914.5996</v>
      </c>
    </row>
    <row r="32" spans="1:12" x14ac:dyDescent="0.3">
      <c r="A32" s="38">
        <v>18</v>
      </c>
      <c r="B32" s="1">
        <v>45586</v>
      </c>
      <c r="C32" s="28">
        <v>13368.81</v>
      </c>
      <c r="D32" s="40">
        <f>Tabulka134[[#This Row],[Anuita bez DPH]]*(1+$B$10)</f>
        <v>16176.2601</v>
      </c>
      <c r="E32" s="38">
        <f t="shared" si="0"/>
        <v>549</v>
      </c>
      <c r="F32" s="38">
        <f t="shared" si="1"/>
        <v>0.76971547916830974</v>
      </c>
      <c r="G32" s="40">
        <f>(Tabulka134[[#This Row],[Anuita vč. DPH]]+Tabulka134[[#This Row],[Pojištění celkem]])*F32</f>
        <v>14694.530221720475</v>
      </c>
      <c r="H32" s="33">
        <v>1219.17</v>
      </c>
      <c r="I32" s="33">
        <v>1147.92</v>
      </c>
      <c r="J32" s="33">
        <v>41.67</v>
      </c>
      <c r="K32" s="51" t="s">
        <v>304</v>
      </c>
      <c r="L32" s="40">
        <f t="shared" si="2"/>
        <v>2914.5996</v>
      </c>
    </row>
    <row r="33" spans="1:12" x14ac:dyDescent="0.3">
      <c r="A33" s="38">
        <v>19</v>
      </c>
      <c r="B33" s="1">
        <v>45616</v>
      </c>
      <c r="C33" s="28">
        <v>13368.81</v>
      </c>
      <c r="D33" s="40">
        <f>Tabulka134[[#This Row],[Anuita bez DPH]]*(1+$B$10)</f>
        <v>16176.2601</v>
      </c>
      <c r="E33" s="38">
        <f t="shared" si="0"/>
        <v>579</v>
      </c>
      <c r="F33" s="38">
        <f t="shared" si="1"/>
        <v>0.75878503507733419</v>
      </c>
      <c r="G33" s="40">
        <f>(Tabulka134[[#This Row],[Anuita vč. DPH]]+Tabulka134[[#This Row],[Pojištění celkem]])*F33</f>
        <v>14485.858647120966</v>
      </c>
      <c r="H33" s="33">
        <v>1219.17</v>
      </c>
      <c r="I33" s="33">
        <v>1147.92</v>
      </c>
      <c r="J33" s="33">
        <v>41.67</v>
      </c>
      <c r="K33" s="51" t="s">
        <v>304</v>
      </c>
      <c r="L33" s="40">
        <f t="shared" si="2"/>
        <v>2914.5996</v>
      </c>
    </row>
    <row r="34" spans="1:12" x14ac:dyDescent="0.3">
      <c r="A34" s="38">
        <v>20</v>
      </c>
      <c r="B34" s="1">
        <v>45647</v>
      </c>
      <c r="C34" s="28">
        <v>13368.81</v>
      </c>
      <c r="D34" s="40">
        <f>Tabulka134[[#This Row],[Anuita bez DPH]]*(1+$B$10)</f>
        <v>16176.2601</v>
      </c>
      <c r="E34" s="38">
        <f t="shared" si="0"/>
        <v>610</v>
      </c>
      <c r="F34" s="38">
        <f t="shared" si="1"/>
        <v>0.74765328340711934</v>
      </c>
      <c r="G34" s="40">
        <f>(Tabulka134[[#This Row],[Anuita vč. DPH]]+Tabulka134[[#This Row],[Pojištění celkem]])*F34</f>
        <v>14273.343937769654</v>
      </c>
      <c r="H34" s="33">
        <v>1219.17</v>
      </c>
      <c r="I34" s="33">
        <v>1147.92</v>
      </c>
      <c r="J34" s="33">
        <v>41.67</v>
      </c>
      <c r="K34" s="51" t="s">
        <v>304</v>
      </c>
      <c r="L34" s="40">
        <f t="shared" si="2"/>
        <v>2914.5996</v>
      </c>
    </row>
    <row r="35" spans="1:12" x14ac:dyDescent="0.3">
      <c r="A35" s="38">
        <v>21</v>
      </c>
      <c r="B35" s="1">
        <v>45677</v>
      </c>
      <c r="C35" s="28">
        <v>13368.81</v>
      </c>
      <c r="D35" s="40">
        <f>Tabulka134[[#This Row],[Anuita bez DPH]]*(1+$B$10)</f>
        <v>16176.2601</v>
      </c>
      <c r="E35" s="38">
        <f t="shared" si="0"/>
        <v>640</v>
      </c>
      <c r="F35" s="38">
        <f t="shared" si="1"/>
        <v>0.73703613637696486</v>
      </c>
      <c r="G35" s="40">
        <f>(Tabulka134[[#This Row],[Anuita vč. DPH]]+Tabulka134[[#This Row],[Pojištění celkem]])*F35</f>
        <v>14070.653473402703</v>
      </c>
      <c r="H35" s="33">
        <v>1219.17</v>
      </c>
      <c r="I35" s="33">
        <v>1147.92</v>
      </c>
      <c r="J35" s="33">
        <v>41.67</v>
      </c>
      <c r="K35" s="51" t="s">
        <v>304</v>
      </c>
      <c r="L35" s="40">
        <f t="shared" si="2"/>
        <v>2914.5996</v>
      </c>
    </row>
    <row r="36" spans="1:12" x14ac:dyDescent="0.3">
      <c r="A36" s="38">
        <v>22</v>
      </c>
      <c r="B36" s="1">
        <v>45708</v>
      </c>
      <c r="C36" s="28">
        <v>13368.81</v>
      </c>
      <c r="D36" s="40">
        <f>Tabulka134[[#This Row],[Anuita bez DPH]]*(1+$B$10)</f>
        <v>16176.2601</v>
      </c>
      <c r="E36" s="38">
        <f t="shared" si="0"/>
        <v>671</v>
      </c>
      <c r="F36" s="38">
        <f t="shared" si="1"/>
        <v>0.72622345180512571</v>
      </c>
      <c r="G36" s="40">
        <f>(Tabulka134[[#This Row],[Anuita vč. DPH]]+Tabulka134[[#This Row],[Pojištění celkem]])*F36</f>
        <v>13864.230029261367</v>
      </c>
      <c r="H36" s="33">
        <v>1219.17</v>
      </c>
      <c r="I36" s="33">
        <v>1147.92</v>
      </c>
      <c r="J36" s="33">
        <v>41.67</v>
      </c>
      <c r="K36" s="51" t="s">
        <v>304</v>
      </c>
      <c r="L36" s="40">
        <f t="shared" si="2"/>
        <v>2914.5996</v>
      </c>
    </row>
    <row r="37" spans="1:12" x14ac:dyDescent="0.3">
      <c r="A37" s="38">
        <v>23</v>
      </c>
      <c r="B37" s="1">
        <v>45739</v>
      </c>
      <c r="C37" s="28">
        <v>13368.81</v>
      </c>
      <c r="D37" s="40">
        <f>Tabulka134[[#This Row],[Anuita bez DPH]]*(1+$B$10)</f>
        <v>16176.2601</v>
      </c>
      <c r="E37" s="38">
        <f t="shared" si="0"/>
        <v>702</v>
      </c>
      <c r="F37" s="38">
        <f t="shared" si="1"/>
        <v>0.71556939466263458</v>
      </c>
      <c r="G37" s="40">
        <f>(Tabulka134[[#This Row],[Anuita vč. DPH]]+Tabulka134[[#This Row],[Pojištění celkem]])*F37</f>
        <v>13660.834919118286</v>
      </c>
      <c r="H37" s="33">
        <v>1219.17</v>
      </c>
      <c r="I37" s="33">
        <v>1147.92</v>
      </c>
      <c r="J37" s="33">
        <v>41.67</v>
      </c>
      <c r="K37" s="51" t="s">
        <v>304</v>
      </c>
      <c r="L37" s="40">
        <f t="shared" si="2"/>
        <v>2914.5996</v>
      </c>
    </row>
    <row r="38" spans="1:12" x14ac:dyDescent="0.3">
      <c r="A38" s="38">
        <v>24</v>
      </c>
      <c r="B38" s="1">
        <v>45767</v>
      </c>
      <c r="C38" s="28">
        <v>13368.81</v>
      </c>
      <c r="D38" s="40">
        <f>Tabulka134[[#This Row],[Anuita bez DPH]]*(1+$B$10)</f>
        <v>16176.2601</v>
      </c>
      <c r="E38" s="38">
        <f t="shared" si="0"/>
        <v>730</v>
      </c>
      <c r="F38" s="38">
        <f t="shared" si="1"/>
        <v>0.70608078257282891</v>
      </c>
      <c r="G38" s="40">
        <f>(Tabulka134[[#This Row],[Anuita vč. DPH]]+Tabulka134[[#This Row],[Pojištění celkem]])*F38</f>
        <v>13479.689156964083</v>
      </c>
      <c r="H38" s="33">
        <v>1219.17</v>
      </c>
      <c r="I38" s="33">
        <v>1147.92</v>
      </c>
      <c r="J38" s="33">
        <v>41.67</v>
      </c>
      <c r="K38" s="51" t="s">
        <v>304</v>
      </c>
      <c r="L38" s="40">
        <f t="shared" si="2"/>
        <v>2914.5996</v>
      </c>
    </row>
    <row r="39" spans="1:12" x14ac:dyDescent="0.3">
      <c r="A39" s="38">
        <v>25</v>
      </c>
      <c r="B39" s="1">
        <v>45798</v>
      </c>
      <c r="C39" s="28">
        <v>13368.81</v>
      </c>
      <c r="D39" s="40">
        <f>Tabulka134[[#This Row],[Anuita bez DPH]]*(1+$B$10)</f>
        <v>16176.2601</v>
      </c>
      <c r="E39" s="38">
        <f t="shared" si="0"/>
        <v>761</v>
      </c>
      <c r="F39" s="38">
        <f t="shared" si="1"/>
        <v>0.69572222834816544</v>
      </c>
      <c r="G39" s="40">
        <f>(Tabulka134[[#This Row],[Anuita vč. DPH]]+Tabulka134[[#This Row],[Pojištění celkem]])*F39</f>
        <v>13281.935451566189</v>
      </c>
      <c r="H39" s="33">
        <v>1219.17</v>
      </c>
      <c r="I39" s="33">
        <v>1147.92</v>
      </c>
      <c r="J39" s="33">
        <v>41.67</v>
      </c>
      <c r="K39" s="51" t="s">
        <v>304</v>
      </c>
      <c r="L39" s="40">
        <f t="shared" si="2"/>
        <v>2914.5996</v>
      </c>
    </row>
    <row r="40" spans="1:12" x14ac:dyDescent="0.3">
      <c r="A40" s="38">
        <v>26</v>
      </c>
      <c r="B40" s="1">
        <v>45828</v>
      </c>
      <c r="C40" s="28">
        <v>13368.81</v>
      </c>
      <c r="D40" s="40">
        <f>Tabulka134[[#This Row],[Anuita bez DPH]]*(1+$B$10)</f>
        <v>16176.2601</v>
      </c>
      <c r="E40" s="38">
        <f t="shared" si="0"/>
        <v>791</v>
      </c>
      <c r="F40" s="38">
        <f t="shared" si="1"/>
        <v>0.68584253497364034</v>
      </c>
      <c r="G40" s="40">
        <f>(Tabulka134[[#This Row],[Anuita vč. DPH]]+Tabulka134[[#This Row],[Pojištění celkem]])*F40</f>
        <v>13093.323611474112</v>
      </c>
      <c r="H40" s="33">
        <v>1219.17</v>
      </c>
      <c r="I40" s="33">
        <v>1147.92</v>
      </c>
      <c r="J40" s="33">
        <v>41.67</v>
      </c>
      <c r="K40" s="51" t="s">
        <v>304</v>
      </c>
      <c r="L40" s="40">
        <f t="shared" si="2"/>
        <v>2914.5996</v>
      </c>
    </row>
    <row r="41" spans="1:12" x14ac:dyDescent="0.3">
      <c r="A41" s="38">
        <v>27</v>
      </c>
      <c r="B41" s="1">
        <v>45859</v>
      </c>
      <c r="C41" s="28">
        <v>13368.81</v>
      </c>
      <c r="D41" s="40">
        <f>Tabulka134[[#This Row],[Anuita bez DPH]]*(1+$B$10)</f>
        <v>16176.2601</v>
      </c>
      <c r="E41" s="38">
        <f t="shared" si="0"/>
        <v>822</v>
      </c>
      <c r="F41" s="38">
        <f t="shared" si="1"/>
        <v>0.67578088584870843</v>
      </c>
      <c r="G41" s="40">
        <f>(Tabulka134[[#This Row],[Anuita vč. DPH]]+Tabulka134[[#This Row],[Pojištění celkem]])*F41</f>
        <v>12901.23807967941</v>
      </c>
      <c r="H41" s="33">
        <v>1219.17</v>
      </c>
      <c r="I41" s="33">
        <v>1147.92</v>
      </c>
      <c r="J41" s="33">
        <v>41.67</v>
      </c>
      <c r="K41" s="51" t="s">
        <v>304</v>
      </c>
      <c r="L41" s="40">
        <f t="shared" si="2"/>
        <v>2914.5996</v>
      </c>
    </row>
    <row r="42" spans="1:12" x14ac:dyDescent="0.3">
      <c r="A42" s="38">
        <v>28</v>
      </c>
      <c r="B42" s="1">
        <v>45889</v>
      </c>
      <c r="C42" s="28">
        <v>13368.81</v>
      </c>
      <c r="D42" s="40">
        <f>Tabulka134[[#This Row],[Anuita bez DPH]]*(1+$B$10)</f>
        <v>16176.2601</v>
      </c>
      <c r="E42" s="38">
        <f t="shared" si="0"/>
        <v>852</v>
      </c>
      <c r="F42" s="38">
        <f t="shared" si="1"/>
        <v>0.66618437208429715</v>
      </c>
      <c r="G42" s="40">
        <f>(Tabulka134[[#This Row],[Anuita vč. DPH]]+Tabulka134[[#This Row],[Pojištění celkem]])*F42</f>
        <v>12718.032381793913</v>
      </c>
      <c r="H42" s="33">
        <v>1219.17</v>
      </c>
      <c r="I42" s="33">
        <v>1147.92</v>
      </c>
      <c r="J42" s="33">
        <v>41.67</v>
      </c>
      <c r="K42" s="51" t="s">
        <v>304</v>
      </c>
      <c r="L42" s="40">
        <f t="shared" si="2"/>
        <v>2914.5996</v>
      </c>
    </row>
    <row r="43" spans="1:12" x14ac:dyDescent="0.3">
      <c r="A43" s="38">
        <v>29</v>
      </c>
      <c r="B43" s="1">
        <v>45920</v>
      </c>
      <c r="C43" s="28">
        <v>13368.81</v>
      </c>
      <c r="D43" s="40">
        <f>Tabulka134[[#This Row],[Anuita bez DPH]]*(1+$B$10)</f>
        <v>16176.2601</v>
      </c>
      <c r="E43" s="38">
        <f t="shared" si="0"/>
        <v>883</v>
      </c>
      <c r="F43" s="38">
        <f t="shared" si="1"/>
        <v>0.65641111792956186</v>
      </c>
      <c r="G43" s="40">
        <f>(Tabulka134[[#This Row],[Anuita vč. DPH]]+Tabulka134[[#This Row],[Pojištění celkem]])*F43</f>
        <v>12531.452557913421</v>
      </c>
      <c r="H43" s="33">
        <v>1219.17</v>
      </c>
      <c r="I43" s="33">
        <v>1147.92</v>
      </c>
      <c r="J43" s="33">
        <v>41.67</v>
      </c>
      <c r="K43" s="51" t="s">
        <v>304</v>
      </c>
      <c r="L43" s="40">
        <f t="shared" si="2"/>
        <v>2914.5996</v>
      </c>
    </row>
    <row r="44" spans="1:12" x14ac:dyDescent="0.3">
      <c r="A44" s="38">
        <v>30</v>
      </c>
      <c r="B44" s="1">
        <v>45951</v>
      </c>
      <c r="C44" s="28">
        <v>13368.81</v>
      </c>
      <c r="D44" s="40">
        <f>Tabulka134[[#This Row],[Anuita bez DPH]]*(1+$B$10)</f>
        <v>16176.2601</v>
      </c>
      <c r="E44" s="38">
        <f t="shared" si="0"/>
        <v>914</v>
      </c>
      <c r="F44" s="38">
        <f t="shared" si="1"/>
        <v>0.64678124224597588</v>
      </c>
      <c r="G44" s="40">
        <f>(Tabulka134[[#This Row],[Anuita vč. DPH]]+Tabulka134[[#This Row],[Pojištění celkem]])*F44</f>
        <v>12347.609952309638</v>
      </c>
      <c r="H44" s="33">
        <v>1219.17</v>
      </c>
      <c r="I44" s="33">
        <v>1147.92</v>
      </c>
      <c r="J44" s="33">
        <v>41.67</v>
      </c>
      <c r="K44" s="51" t="s">
        <v>304</v>
      </c>
      <c r="L44" s="40">
        <f t="shared" si="2"/>
        <v>2914.5996</v>
      </c>
    </row>
    <row r="45" spans="1:12" x14ac:dyDescent="0.3">
      <c r="A45" s="38">
        <v>31</v>
      </c>
      <c r="B45" s="1">
        <v>45981</v>
      </c>
      <c r="C45" s="28">
        <v>13368.81</v>
      </c>
      <c r="D45" s="40">
        <f>Tabulka134[[#This Row],[Anuita bez DPH]]*(1+$B$10)</f>
        <v>16176.2601</v>
      </c>
      <c r="E45" s="38">
        <f t="shared" si="0"/>
        <v>944</v>
      </c>
      <c r="F45" s="38">
        <f t="shared" si="1"/>
        <v>0.63759654166661361</v>
      </c>
      <c r="G45" s="40">
        <f>(Tabulka134[[#This Row],[Anuita vč. DPH]]+Tabulka134[[#This Row],[Pojištění celkem]])*F45</f>
        <v>12172.266122162526</v>
      </c>
      <c r="H45" s="33">
        <v>1219.17</v>
      </c>
      <c r="I45" s="33">
        <v>1147.92</v>
      </c>
      <c r="J45" s="33">
        <v>41.67</v>
      </c>
      <c r="K45" s="51" t="s">
        <v>304</v>
      </c>
      <c r="L45" s="40">
        <f t="shared" si="2"/>
        <v>2914.5996</v>
      </c>
    </row>
    <row r="46" spans="1:12" x14ac:dyDescent="0.3">
      <c r="A46" s="38">
        <v>32</v>
      </c>
      <c r="B46" s="1">
        <v>46012</v>
      </c>
      <c r="C46" s="28">
        <v>13368.81</v>
      </c>
      <c r="D46" s="40">
        <f>Tabulka134[[#This Row],[Anuita bez DPH]]*(1+$B$10)</f>
        <v>16176.2601</v>
      </c>
      <c r="E46" s="38">
        <f t="shared" si="0"/>
        <v>975</v>
      </c>
      <c r="F46" s="38">
        <f t="shared" si="1"/>
        <v>0.6282426851202767</v>
      </c>
      <c r="G46" s="40">
        <f>(Tabulka134[[#This Row],[Anuita vč. DPH]]+Tabulka134[[#This Row],[Pojištění celkem]])*F46</f>
        <v>11993.692959182481</v>
      </c>
      <c r="H46" s="33">
        <v>1219.17</v>
      </c>
      <c r="I46" s="33">
        <v>1147.92</v>
      </c>
      <c r="J46" s="33">
        <v>41.67</v>
      </c>
      <c r="K46" s="51" t="s">
        <v>304</v>
      </c>
      <c r="L46" s="40">
        <f t="shared" si="2"/>
        <v>2914.5996</v>
      </c>
    </row>
    <row r="47" spans="1:12" x14ac:dyDescent="0.3">
      <c r="A47" s="38">
        <v>33</v>
      </c>
      <c r="B47" s="1">
        <v>46042</v>
      </c>
      <c r="C47" s="28">
        <v>13368.81</v>
      </c>
      <c r="D47" s="40">
        <f>Tabulka134[[#This Row],[Anuita bez DPH]]*(1+$B$10)</f>
        <v>16176.2601</v>
      </c>
      <c r="E47" s="38">
        <f t="shared" si="0"/>
        <v>1005</v>
      </c>
      <c r="F47" s="38">
        <f t="shared" si="1"/>
        <v>0.61932124371612129</v>
      </c>
      <c r="G47" s="40">
        <f>(Tabulka134[[#This Row],[Anuita vč. DPH]]+Tabulka134[[#This Row],[Pojištění celkem]])*F47</f>
        <v>11823.374973013979</v>
      </c>
      <c r="H47" s="33">
        <v>1219.17</v>
      </c>
      <c r="I47" s="33">
        <v>1147.92</v>
      </c>
      <c r="J47" s="33">
        <v>41.67</v>
      </c>
      <c r="K47" s="51" t="s">
        <v>304</v>
      </c>
      <c r="L47" s="40">
        <f t="shared" si="2"/>
        <v>2914.5996</v>
      </c>
    </row>
    <row r="48" spans="1:12" x14ac:dyDescent="0.3">
      <c r="A48" s="38">
        <v>34</v>
      </c>
      <c r="B48" s="1">
        <v>46073</v>
      </c>
      <c r="C48" s="28">
        <v>13368.81</v>
      </c>
      <c r="D48" s="40">
        <f>Tabulka134[[#This Row],[Anuita bez DPH]]*(1+$B$10)</f>
        <v>16176.2601</v>
      </c>
      <c r="E48" s="38">
        <f t="shared" si="0"/>
        <v>1036</v>
      </c>
      <c r="F48" s="38">
        <f t="shared" si="1"/>
        <v>0.61023549482752615</v>
      </c>
      <c r="G48" s="40">
        <f>(Tabulka134[[#This Row],[Anuita vč. DPH]]+Tabulka134[[#This Row],[Pojištění celkem]])*F48</f>
        <v>11649.920215712378</v>
      </c>
      <c r="H48" s="33">
        <v>1219.17</v>
      </c>
      <c r="I48" s="33">
        <v>1147.92</v>
      </c>
      <c r="J48" s="33">
        <v>41.67</v>
      </c>
      <c r="K48" s="51" t="s">
        <v>304</v>
      </c>
      <c r="L48" s="40">
        <f t="shared" si="2"/>
        <v>2914.5996</v>
      </c>
    </row>
    <row r="49" spans="1:12" x14ac:dyDescent="0.3">
      <c r="A49" s="38">
        <v>35</v>
      </c>
      <c r="B49" s="1">
        <v>46104</v>
      </c>
      <c r="C49" s="28">
        <v>13368.81</v>
      </c>
      <c r="D49" s="40">
        <f>Tabulka134[[#This Row],[Anuita bez DPH]]*(1+$B$10)</f>
        <v>16176.2601</v>
      </c>
      <c r="E49" s="38">
        <f t="shared" si="0"/>
        <v>1067</v>
      </c>
      <c r="F49" s="38">
        <f t="shared" si="1"/>
        <v>0.60128303836786701</v>
      </c>
      <c r="G49" s="40">
        <f>(Tabulka134[[#This Row],[Anuita vč. DPH]]+Tabulka134[[#This Row],[Pojištění celkem]])*F49</f>
        <v>11479.010125470666</v>
      </c>
      <c r="H49" s="33">
        <v>1219.17</v>
      </c>
      <c r="I49" s="33">
        <v>1147.92</v>
      </c>
      <c r="J49" s="33">
        <v>41.67</v>
      </c>
      <c r="K49" s="51" t="s">
        <v>304</v>
      </c>
      <c r="L49" s="40">
        <f t="shared" si="2"/>
        <v>2914.5996</v>
      </c>
    </row>
    <row r="50" spans="1:12" x14ac:dyDescent="0.3">
      <c r="A50" s="38">
        <v>36</v>
      </c>
      <c r="B50" s="1">
        <v>46132</v>
      </c>
      <c r="C50" s="28">
        <v>13368.81</v>
      </c>
      <c r="D50" s="40">
        <f>Tabulka134[[#This Row],[Anuita bez DPH]]*(1+$B$10)</f>
        <v>16176.2601</v>
      </c>
      <c r="E50" s="38">
        <f t="shared" si="0"/>
        <v>1095</v>
      </c>
      <c r="F50" s="38">
        <f t="shared" si="1"/>
        <v>0.5933098892228531</v>
      </c>
      <c r="G50" s="40">
        <f>(Tabulka134[[#This Row],[Anuita vč. DPH]]+Tabulka134[[#This Row],[Pojištění celkem]])*F50</f>
        <v>11326.795853776031</v>
      </c>
      <c r="H50" s="33">
        <v>1219.17</v>
      </c>
      <c r="I50" s="33">
        <v>1147.92</v>
      </c>
      <c r="J50" s="33">
        <v>41.67</v>
      </c>
      <c r="K50" s="51" t="s">
        <v>304</v>
      </c>
      <c r="L50" s="40">
        <f t="shared" si="2"/>
        <v>2914.5996</v>
      </c>
    </row>
    <row r="51" spans="1:12" x14ac:dyDescent="0.3">
      <c r="G51"/>
      <c r="H51"/>
      <c r="I51" s="43"/>
      <c r="J51" s="43"/>
      <c r="K51" s="43"/>
      <c r="L51" s="43"/>
    </row>
    <row r="52" spans="1:12" x14ac:dyDescent="0.3">
      <c r="A52" s="27" t="s">
        <v>311</v>
      </c>
      <c r="B52" s="47">
        <v>46162</v>
      </c>
      <c r="C52" s="46">
        <f>B8</f>
        <v>10000</v>
      </c>
      <c r="D52" s="34">
        <f>C52*(1+$B$10)</f>
        <v>12100</v>
      </c>
      <c r="E52" s="26">
        <f t="shared" si="0"/>
        <v>1125</v>
      </c>
      <c r="F52" s="26">
        <f>1/POWER((1+$D$2),(E52/365.25))</f>
        <v>0.58488451549933052</v>
      </c>
      <c r="G52" s="34">
        <f>D52*F52</f>
        <v>7077.1026375418996</v>
      </c>
    </row>
    <row r="53" spans="1:12" x14ac:dyDescent="0.3">
      <c r="A53" s="27" t="s">
        <v>21</v>
      </c>
      <c r="B53" s="47">
        <v>46165</v>
      </c>
      <c r="C53" s="46">
        <f>B9</f>
        <v>0</v>
      </c>
      <c r="D53" s="34">
        <f>C53*(1+$B$10)</f>
        <v>0</v>
      </c>
      <c r="E53" s="26">
        <f t="shared" si="0"/>
        <v>1128</v>
      </c>
      <c r="F53" s="26">
        <f>1/POWER((1+$D$2),(E53/365.25))</f>
        <v>0.58404858686029304</v>
      </c>
      <c r="G53" s="34">
        <f>D53*F53</f>
        <v>0</v>
      </c>
    </row>
    <row r="54" spans="1:12" x14ac:dyDescent="0.3">
      <c r="A54" s="27" t="s">
        <v>306</v>
      </c>
      <c r="B54" s="26"/>
      <c r="C54" s="34"/>
      <c r="D54" s="34"/>
      <c r="E54" s="26"/>
      <c r="F54" s="26"/>
      <c r="G54" s="46">
        <f>SUM(G13:G53)</f>
        <v>605000.00000070885</v>
      </c>
    </row>
  </sheetData>
  <mergeCells count="1">
    <mergeCell ref="E2:E3"/>
  </mergeCells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ADDF-BD0A-474A-88DF-583AF5C4E9B9}">
  <dimension ref="A1:L59"/>
  <sheetViews>
    <sheetView zoomScale="130" zoomScaleNormal="130" workbookViewId="0">
      <selection activeCell="H8" sqref="H8"/>
    </sheetView>
  </sheetViews>
  <sheetFormatPr defaultRowHeight="14.4" x14ac:dyDescent="0.3"/>
  <cols>
    <col min="1" max="1" width="23.88671875" customWidth="1"/>
    <col min="2" max="2" width="22.109375" customWidth="1"/>
    <col min="3" max="3" width="15.44140625" customWidth="1"/>
    <col min="4" max="4" width="11.33203125" bestFit="1" customWidth="1"/>
    <col min="5" max="5" width="15" customWidth="1"/>
    <col min="7" max="7" width="19.33203125" bestFit="1" customWidth="1"/>
    <col min="8" max="8" width="11.44140625" bestFit="1" customWidth="1"/>
  </cols>
  <sheetData>
    <row r="1" spans="1:12" x14ac:dyDescent="0.3">
      <c r="A1" t="s">
        <v>0</v>
      </c>
      <c r="C1" t="s">
        <v>1</v>
      </c>
      <c r="L1" t="s">
        <v>2</v>
      </c>
    </row>
    <row r="2" spans="1:12" x14ac:dyDescent="0.3">
      <c r="A2" t="s">
        <v>3</v>
      </c>
      <c r="B2">
        <v>36</v>
      </c>
      <c r="C2" s="14" t="s">
        <v>4</v>
      </c>
      <c r="D2" s="16">
        <v>0.22</v>
      </c>
      <c r="E2" s="18">
        <f>D2</f>
        <v>0.22</v>
      </c>
      <c r="G2" s="16">
        <v>0.21315635999999999</v>
      </c>
    </row>
    <row r="3" spans="1:12" x14ac:dyDescent="0.3">
      <c r="A3" t="s">
        <v>5</v>
      </c>
      <c r="B3" s="20">
        <f>700000*1.21</f>
        <v>847000</v>
      </c>
      <c r="C3" t="s">
        <v>6</v>
      </c>
      <c r="D3" s="11">
        <v>21.32</v>
      </c>
    </row>
    <row r="4" spans="1:12" x14ac:dyDescent="0.3">
      <c r="A4" t="s">
        <v>7</v>
      </c>
      <c r="B4" s="21">
        <v>44832</v>
      </c>
      <c r="C4" t="s">
        <v>8</v>
      </c>
      <c r="D4" s="14">
        <f>B3-G46</f>
        <v>5199.4237090408569</v>
      </c>
    </row>
    <row r="5" spans="1:12" x14ac:dyDescent="0.3">
      <c r="A5" t="s">
        <v>9</v>
      </c>
      <c r="B5" s="20">
        <f>200*1.21</f>
        <v>242</v>
      </c>
      <c r="H5" t="s">
        <v>10</v>
      </c>
    </row>
    <row r="6" spans="1:12" x14ac:dyDescent="0.3">
      <c r="A6" t="s">
        <v>11</v>
      </c>
      <c r="B6" s="19" t="s">
        <v>12</v>
      </c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</row>
    <row r="7" spans="1:12" ht="15" thickBot="1" x14ac:dyDescent="0.35">
      <c r="A7" s="9" t="s">
        <v>19</v>
      </c>
      <c r="B7" s="7">
        <f>169400+B5</f>
        <v>169642</v>
      </c>
      <c r="C7" s="1">
        <v>44832</v>
      </c>
      <c r="D7" s="1">
        <f>DATE(2022,9,28)</f>
        <v>44832</v>
      </c>
      <c r="E7">
        <f>C7-$B$4</f>
        <v>0</v>
      </c>
      <c r="F7">
        <f>1/POWER((1+$E$2),(E7/365.25))</f>
        <v>1</v>
      </c>
      <c r="G7">
        <f>B7*F7</f>
        <v>169642</v>
      </c>
    </row>
    <row r="8" spans="1:12" ht="17.399999999999999" thickBot="1" x14ac:dyDescent="0.35">
      <c r="A8">
        <v>1</v>
      </c>
      <c r="B8" s="8">
        <f>17686.35*1.21</f>
        <v>21400.483499999998</v>
      </c>
      <c r="C8" s="6">
        <v>44862</v>
      </c>
      <c r="D8" s="1">
        <f>DATE(2022,10,28)</f>
        <v>44862</v>
      </c>
      <c r="E8">
        <f t="shared" ref="E8:E45" si="0">C8-$B$4</f>
        <v>30</v>
      </c>
      <c r="F8">
        <f t="shared" ref="F8:F45" si="1">1/POWER((1+$E$2),(E8/365.25))</f>
        <v>0.98379993626626761</v>
      </c>
      <c r="G8">
        <f>(B8+H8+I8+J8)*F8</f>
        <v>24467.760314359581</v>
      </c>
      <c r="H8" s="5">
        <f>1219.17*1.21</f>
        <v>1475.1957</v>
      </c>
      <c r="I8" s="5">
        <f>1607.08*1.21</f>
        <v>1944.5667999999998</v>
      </c>
      <c r="J8" s="5">
        <f>41.67*1.21</f>
        <v>50.420700000000004</v>
      </c>
    </row>
    <row r="9" spans="1:12" ht="17.399999999999999" thickBot="1" x14ac:dyDescent="0.35">
      <c r="A9">
        <v>2</v>
      </c>
      <c r="B9" s="8">
        <f t="shared" ref="B9:B43" si="2">17686.35*1.21</f>
        <v>21400.483499999998</v>
      </c>
      <c r="C9" s="6">
        <v>44893</v>
      </c>
      <c r="D9" s="1">
        <f>DATE(2022,11,28)</f>
        <v>44893</v>
      </c>
      <c r="E9">
        <f t="shared" si="0"/>
        <v>61</v>
      </c>
      <c r="F9">
        <f t="shared" si="1"/>
        <v>0.96733553055391819</v>
      </c>
      <c r="G9">
        <f t="shared" ref="G9:G43" si="3">(B9+H9+I9+J9)*F9</f>
        <v>24058.279567474165</v>
      </c>
      <c r="H9" s="5">
        <f t="shared" ref="H9:H43" si="4">1219.17*1.21</f>
        <v>1475.1957</v>
      </c>
      <c r="I9" s="5">
        <f t="shared" ref="I9:I43" si="5">1607.08*1.21</f>
        <v>1944.5667999999998</v>
      </c>
      <c r="J9" s="5">
        <f t="shared" ref="J9:J43" si="6">41.67*1.21</f>
        <v>50.420700000000004</v>
      </c>
    </row>
    <row r="10" spans="1:12" ht="17.399999999999999" thickBot="1" x14ac:dyDescent="0.35">
      <c r="A10">
        <v>3</v>
      </c>
      <c r="B10" s="8">
        <f t="shared" si="2"/>
        <v>21400.483499999998</v>
      </c>
      <c r="C10" s="6">
        <v>44923</v>
      </c>
      <c r="D10" s="1">
        <f>DATE(2022,12,28)</f>
        <v>44923</v>
      </c>
      <c r="E10">
        <f t="shared" si="0"/>
        <v>91</v>
      </c>
      <c r="F10">
        <f t="shared" si="1"/>
        <v>0.95166463330704099</v>
      </c>
      <c r="G10">
        <f t="shared" si="3"/>
        <v>23668.533905157132</v>
      </c>
      <c r="H10" s="5">
        <f t="shared" si="4"/>
        <v>1475.1957</v>
      </c>
      <c r="I10" s="5">
        <f t="shared" si="5"/>
        <v>1944.5667999999998</v>
      </c>
      <c r="J10" s="5">
        <f t="shared" si="6"/>
        <v>50.420700000000004</v>
      </c>
    </row>
    <row r="11" spans="1:12" ht="17.399999999999999" thickBot="1" x14ac:dyDescent="0.35">
      <c r="A11">
        <v>4</v>
      </c>
      <c r="B11" s="8">
        <f t="shared" si="2"/>
        <v>21400.483499999998</v>
      </c>
      <c r="C11" s="6">
        <v>44954</v>
      </c>
      <c r="D11" s="1">
        <f>DATE(2023,1,28)</f>
        <v>44954</v>
      </c>
      <c r="E11">
        <f t="shared" si="0"/>
        <v>122</v>
      </c>
      <c r="F11">
        <f t="shared" si="1"/>
        <v>0.9357380286720306</v>
      </c>
      <c r="G11">
        <f t="shared" si="3"/>
        <v>23272.428629617116</v>
      </c>
      <c r="H11" s="5">
        <f t="shared" si="4"/>
        <v>1475.1957</v>
      </c>
      <c r="I11" s="5">
        <f t="shared" si="5"/>
        <v>1944.5667999999998</v>
      </c>
      <c r="J11" s="5">
        <f t="shared" si="6"/>
        <v>50.420700000000004</v>
      </c>
    </row>
    <row r="12" spans="1:12" ht="17.399999999999999" thickBot="1" x14ac:dyDescent="0.35">
      <c r="A12">
        <v>5</v>
      </c>
      <c r="B12" s="8">
        <f t="shared" si="2"/>
        <v>21400.483499999998</v>
      </c>
      <c r="C12" s="6">
        <v>44985</v>
      </c>
      <c r="D12" s="1">
        <f>DATE(2023,2,28)</f>
        <v>44985</v>
      </c>
      <c r="E12">
        <f t="shared" si="0"/>
        <v>153</v>
      </c>
      <c r="F12">
        <f t="shared" si="1"/>
        <v>0.92007796408308495</v>
      </c>
      <c r="G12">
        <f t="shared" si="3"/>
        <v>22882.952382724976</v>
      </c>
      <c r="H12" s="5">
        <f t="shared" si="4"/>
        <v>1475.1957</v>
      </c>
      <c r="I12" s="5">
        <f t="shared" si="5"/>
        <v>1944.5667999999998</v>
      </c>
      <c r="J12" s="5">
        <f t="shared" si="6"/>
        <v>50.420700000000004</v>
      </c>
    </row>
    <row r="13" spans="1:12" ht="17.399999999999999" thickBot="1" x14ac:dyDescent="0.35">
      <c r="A13">
        <v>6</v>
      </c>
      <c r="B13" s="8">
        <f t="shared" si="2"/>
        <v>21400.483499999998</v>
      </c>
      <c r="C13" s="6">
        <v>45013</v>
      </c>
      <c r="D13" s="1">
        <f>DATE(2023,3,28)</f>
        <v>45013</v>
      </c>
      <c r="E13">
        <f t="shared" si="0"/>
        <v>181</v>
      </c>
      <c r="F13">
        <f t="shared" si="1"/>
        <v>0.90615877458690464</v>
      </c>
      <c r="G13">
        <f t="shared" si="3"/>
        <v>22536.772860031335</v>
      </c>
      <c r="H13" s="5">
        <f t="shared" si="4"/>
        <v>1475.1957</v>
      </c>
      <c r="I13" s="5">
        <f t="shared" si="5"/>
        <v>1944.5667999999998</v>
      </c>
      <c r="J13" s="5">
        <f t="shared" si="6"/>
        <v>50.420700000000004</v>
      </c>
    </row>
    <row r="14" spans="1:12" ht="17.399999999999999" thickBot="1" x14ac:dyDescent="0.35">
      <c r="A14">
        <v>7</v>
      </c>
      <c r="B14" s="8">
        <f t="shared" si="2"/>
        <v>21400.483499999998</v>
      </c>
      <c r="C14" s="6">
        <v>45044</v>
      </c>
      <c r="D14" s="1">
        <f>DATE(2023,4,28)</f>
        <v>45044</v>
      </c>
      <c r="E14">
        <f t="shared" si="0"/>
        <v>212</v>
      </c>
      <c r="F14">
        <f t="shared" si="1"/>
        <v>0.89099373426252082</v>
      </c>
      <c r="G14">
        <f t="shared" si="3"/>
        <v>22159.608196631525</v>
      </c>
      <c r="H14" s="5">
        <f t="shared" si="4"/>
        <v>1475.1957</v>
      </c>
      <c r="I14" s="5">
        <f t="shared" si="5"/>
        <v>1944.5667999999998</v>
      </c>
      <c r="J14" s="5">
        <f t="shared" si="6"/>
        <v>50.420700000000004</v>
      </c>
    </row>
    <row r="15" spans="1:12" ht="17.399999999999999" thickBot="1" x14ac:dyDescent="0.35">
      <c r="A15">
        <v>8</v>
      </c>
      <c r="B15" s="8">
        <f t="shared" si="2"/>
        <v>21400.483499999998</v>
      </c>
      <c r="C15" s="6">
        <v>45074</v>
      </c>
      <c r="D15" s="1">
        <f>DATE(2023,5,28)</f>
        <v>45074</v>
      </c>
      <c r="E15">
        <f t="shared" si="0"/>
        <v>242</v>
      </c>
      <c r="F15">
        <f t="shared" si="1"/>
        <v>0.87655957898111181</v>
      </c>
      <c r="G15">
        <f t="shared" si="3"/>
        <v>21800.621131531556</v>
      </c>
      <c r="H15" s="5">
        <f t="shared" si="4"/>
        <v>1475.1957</v>
      </c>
      <c r="I15" s="5">
        <f t="shared" si="5"/>
        <v>1944.5667999999998</v>
      </c>
      <c r="J15" s="5">
        <f t="shared" si="6"/>
        <v>50.420700000000004</v>
      </c>
    </row>
    <row r="16" spans="1:12" ht="17.399999999999999" thickBot="1" x14ac:dyDescent="0.35">
      <c r="A16">
        <v>9</v>
      </c>
      <c r="B16" s="8">
        <f t="shared" si="2"/>
        <v>21400.483499999998</v>
      </c>
      <c r="C16" s="6">
        <v>45105</v>
      </c>
      <c r="D16" s="1">
        <f>DATE(2023,6,28)</f>
        <v>45105</v>
      </c>
      <c r="E16">
        <f t="shared" si="0"/>
        <v>273</v>
      </c>
      <c r="F16">
        <f t="shared" si="1"/>
        <v>0.86188989665305249</v>
      </c>
      <c r="G16">
        <f t="shared" si="3"/>
        <v>21435.776351755514</v>
      </c>
      <c r="H16" s="5">
        <f t="shared" si="4"/>
        <v>1475.1957</v>
      </c>
      <c r="I16" s="5">
        <f t="shared" si="5"/>
        <v>1944.5667999999998</v>
      </c>
      <c r="J16" s="5">
        <f t="shared" si="6"/>
        <v>50.420700000000004</v>
      </c>
    </row>
    <row r="17" spans="1:10" ht="17.399999999999999" thickBot="1" x14ac:dyDescent="0.35">
      <c r="A17">
        <v>10</v>
      </c>
      <c r="B17" s="8">
        <f t="shared" si="2"/>
        <v>21400.483499999998</v>
      </c>
      <c r="C17" s="6">
        <v>45135</v>
      </c>
      <c r="D17" s="1">
        <f>DATE(2023,7,28)</f>
        <v>45135</v>
      </c>
      <c r="E17">
        <f t="shared" si="0"/>
        <v>303</v>
      </c>
      <c r="F17">
        <f t="shared" si="1"/>
        <v>0.847927225395813</v>
      </c>
      <c r="G17">
        <f t="shared" si="3"/>
        <v>21088.515408675037</v>
      </c>
      <c r="H17" s="5">
        <f t="shared" si="4"/>
        <v>1475.1957</v>
      </c>
      <c r="I17" s="5">
        <f t="shared" si="5"/>
        <v>1944.5667999999998</v>
      </c>
      <c r="J17" s="5">
        <f t="shared" si="6"/>
        <v>50.420700000000004</v>
      </c>
    </row>
    <row r="18" spans="1:10" ht="17.399999999999999" thickBot="1" x14ac:dyDescent="0.35">
      <c r="A18">
        <v>11</v>
      </c>
      <c r="B18" s="8">
        <f t="shared" si="2"/>
        <v>21400.483499999998</v>
      </c>
      <c r="C18" s="6">
        <v>45166</v>
      </c>
      <c r="D18" s="1">
        <f>DATE(2023,8,28)</f>
        <v>45166</v>
      </c>
      <c r="E18">
        <f t="shared" si="0"/>
        <v>334</v>
      </c>
      <c r="F18">
        <f t="shared" si="1"/>
        <v>0.83373672045794234</v>
      </c>
      <c r="G18">
        <f t="shared" si="3"/>
        <v>20735.588090060555</v>
      </c>
      <c r="H18" s="5">
        <f t="shared" si="4"/>
        <v>1475.1957</v>
      </c>
      <c r="I18" s="5">
        <f t="shared" si="5"/>
        <v>1944.5667999999998</v>
      </c>
      <c r="J18" s="5">
        <f t="shared" si="6"/>
        <v>50.420700000000004</v>
      </c>
    </row>
    <row r="19" spans="1:10" ht="17.399999999999999" thickBot="1" x14ac:dyDescent="0.35">
      <c r="A19">
        <v>12</v>
      </c>
      <c r="B19" s="8">
        <f t="shared" si="2"/>
        <v>21400.483499999998</v>
      </c>
      <c r="C19" s="6">
        <v>45197</v>
      </c>
      <c r="D19" s="1">
        <f>DATE(2023,9,28)</f>
        <v>45197</v>
      </c>
      <c r="E19">
        <f t="shared" si="0"/>
        <v>365</v>
      </c>
      <c r="F19">
        <f t="shared" si="1"/>
        <v>0.81978370103104548</v>
      </c>
      <c r="G19">
        <f t="shared" si="3"/>
        <v>20388.567194435578</v>
      </c>
      <c r="H19" s="5">
        <f t="shared" si="4"/>
        <v>1475.1957</v>
      </c>
      <c r="I19" s="5">
        <f t="shared" si="5"/>
        <v>1944.5667999999998</v>
      </c>
      <c r="J19" s="5">
        <f t="shared" si="6"/>
        <v>50.420700000000004</v>
      </c>
    </row>
    <row r="20" spans="1:10" ht="17.399999999999999" thickBot="1" x14ac:dyDescent="0.35">
      <c r="A20">
        <v>13</v>
      </c>
      <c r="B20" s="8">
        <f t="shared" si="2"/>
        <v>21400.483499999998</v>
      </c>
      <c r="C20" s="6">
        <v>45227</v>
      </c>
      <c r="D20" s="1">
        <f>DATE(2023,10,28)</f>
        <v>45227</v>
      </c>
      <c r="E20">
        <f t="shared" si="0"/>
        <v>395</v>
      </c>
      <c r="F20">
        <f t="shared" si="1"/>
        <v>0.80650315282646756</v>
      </c>
      <c r="G20">
        <f t="shared" si="3"/>
        <v>20058.271106446235</v>
      </c>
      <c r="H20" s="5">
        <f t="shared" si="4"/>
        <v>1475.1957</v>
      </c>
      <c r="I20" s="5">
        <f t="shared" si="5"/>
        <v>1944.5667999999998</v>
      </c>
      <c r="J20" s="5">
        <f t="shared" si="6"/>
        <v>50.420700000000004</v>
      </c>
    </row>
    <row r="21" spans="1:10" ht="17.399999999999999" thickBot="1" x14ac:dyDescent="0.35">
      <c r="A21">
        <v>14</v>
      </c>
      <c r="B21" s="8">
        <f t="shared" si="2"/>
        <v>21400.483499999998</v>
      </c>
      <c r="C21" s="6">
        <v>45258</v>
      </c>
      <c r="D21" s="1">
        <f>DATE(2023,11,28)</f>
        <v>45258</v>
      </c>
      <c r="E21">
        <f t="shared" si="0"/>
        <v>426</v>
      </c>
      <c r="F21">
        <f t="shared" si="1"/>
        <v>0.7930059013763211</v>
      </c>
      <c r="G21">
        <f t="shared" si="3"/>
        <v>19722.585464263553</v>
      </c>
      <c r="H21" s="5">
        <f t="shared" si="4"/>
        <v>1475.1957</v>
      </c>
      <c r="I21" s="5">
        <f t="shared" si="5"/>
        <v>1944.5667999999998</v>
      </c>
      <c r="J21" s="5">
        <f t="shared" si="6"/>
        <v>50.420700000000004</v>
      </c>
    </row>
    <row r="22" spans="1:10" ht="17.399999999999999" thickBot="1" x14ac:dyDescent="0.35">
      <c r="A22">
        <v>15</v>
      </c>
      <c r="B22" s="8">
        <f t="shared" si="2"/>
        <v>21400.483499999998</v>
      </c>
      <c r="C22" s="6">
        <v>45288</v>
      </c>
      <c r="D22" s="1">
        <f>DATE(2023,12,28)</f>
        <v>45288</v>
      </c>
      <c r="E22">
        <f t="shared" si="0"/>
        <v>456</v>
      </c>
      <c r="F22">
        <f t="shared" si="1"/>
        <v>0.78015915523279877</v>
      </c>
      <c r="G22">
        <f t="shared" si="3"/>
        <v>19403.078322748497</v>
      </c>
      <c r="H22" s="5">
        <f t="shared" si="4"/>
        <v>1475.1957</v>
      </c>
      <c r="I22" s="5">
        <f t="shared" si="5"/>
        <v>1944.5667999999998</v>
      </c>
      <c r="J22" s="5">
        <f t="shared" si="6"/>
        <v>50.420700000000004</v>
      </c>
    </row>
    <row r="23" spans="1:10" ht="17.399999999999999" thickBot="1" x14ac:dyDescent="0.35">
      <c r="A23">
        <v>16</v>
      </c>
      <c r="B23" s="8">
        <f t="shared" si="2"/>
        <v>21400.483499999998</v>
      </c>
      <c r="C23" s="6">
        <v>45319</v>
      </c>
      <c r="D23" s="1">
        <f>DATE(2024,1,28)</f>
        <v>45319</v>
      </c>
      <c r="E23">
        <f t="shared" si="0"/>
        <v>487</v>
      </c>
      <c r="F23">
        <f t="shared" si="1"/>
        <v>0.76710278434025181</v>
      </c>
      <c r="G23">
        <f t="shared" si="3"/>
        <v>19078.357673968381</v>
      </c>
      <c r="H23" s="5">
        <f t="shared" si="4"/>
        <v>1475.1957</v>
      </c>
      <c r="I23" s="5">
        <f t="shared" si="5"/>
        <v>1944.5667999999998</v>
      </c>
      <c r="J23" s="5">
        <f t="shared" si="6"/>
        <v>50.420700000000004</v>
      </c>
    </row>
    <row r="24" spans="1:10" ht="17.399999999999999" thickBot="1" x14ac:dyDescent="0.35">
      <c r="A24">
        <v>17</v>
      </c>
      <c r="B24" s="8">
        <f t="shared" si="2"/>
        <v>21400.483499999998</v>
      </c>
      <c r="C24" s="6">
        <v>45350</v>
      </c>
      <c r="D24" s="1">
        <f>DATE(2024,1,28)</f>
        <v>45319</v>
      </c>
      <c r="E24">
        <f t="shared" si="0"/>
        <v>518</v>
      </c>
      <c r="F24">
        <f t="shared" si="1"/>
        <v>0.75426491863314082</v>
      </c>
      <c r="G24">
        <f t="shared" si="3"/>
        <v>18759.071394827464</v>
      </c>
      <c r="H24" s="5">
        <f t="shared" si="4"/>
        <v>1475.1957</v>
      </c>
      <c r="I24" s="5">
        <f t="shared" si="5"/>
        <v>1944.5667999999998</v>
      </c>
      <c r="J24" s="5">
        <f t="shared" si="6"/>
        <v>50.420700000000004</v>
      </c>
    </row>
    <row r="25" spans="1:10" ht="17.399999999999999" thickBot="1" x14ac:dyDescent="0.35">
      <c r="A25">
        <v>18</v>
      </c>
      <c r="B25" s="8">
        <f t="shared" si="2"/>
        <v>21400.483499999998</v>
      </c>
      <c r="C25" s="6">
        <v>45379</v>
      </c>
      <c r="D25" s="1">
        <f>DATE(2024,2,28)</f>
        <v>45350</v>
      </c>
      <c r="E25">
        <f t="shared" si="0"/>
        <v>547</v>
      </c>
      <c r="F25">
        <f t="shared" si="1"/>
        <v>0.74244987638575233</v>
      </c>
      <c r="G25">
        <f t="shared" si="3"/>
        <v>18465.223417046247</v>
      </c>
      <c r="H25" s="5">
        <f t="shared" si="4"/>
        <v>1475.1957</v>
      </c>
      <c r="I25" s="5">
        <f t="shared" si="5"/>
        <v>1944.5667999999998</v>
      </c>
      <c r="J25" s="5">
        <f t="shared" si="6"/>
        <v>50.420700000000004</v>
      </c>
    </row>
    <row r="26" spans="1:10" ht="17.399999999999999" thickBot="1" x14ac:dyDescent="0.35">
      <c r="A26">
        <v>19</v>
      </c>
      <c r="B26" s="8">
        <f t="shared" si="2"/>
        <v>21400.483499999998</v>
      </c>
      <c r="C26" s="6">
        <v>45410</v>
      </c>
      <c r="D26" s="1">
        <f>DATE(2024,3,28)</f>
        <v>45379</v>
      </c>
      <c r="E26">
        <f t="shared" si="0"/>
        <v>578</v>
      </c>
      <c r="F26">
        <f t="shared" si="1"/>
        <v>0.73002458996797581</v>
      </c>
      <c r="G26">
        <f t="shared" si="3"/>
        <v>18156.19825989769</v>
      </c>
      <c r="H26" s="5">
        <f t="shared" si="4"/>
        <v>1475.1957</v>
      </c>
      <c r="I26" s="5">
        <f t="shared" si="5"/>
        <v>1944.5667999999998</v>
      </c>
      <c r="J26" s="5">
        <f t="shared" si="6"/>
        <v>50.420700000000004</v>
      </c>
    </row>
    <row r="27" spans="1:10" ht="17.399999999999999" thickBot="1" x14ac:dyDescent="0.35">
      <c r="A27">
        <v>20</v>
      </c>
      <c r="B27" s="8">
        <f t="shared" si="2"/>
        <v>21400.483499999998</v>
      </c>
      <c r="C27" s="6">
        <v>45440</v>
      </c>
      <c r="D27" s="1">
        <f>DATE(2024,5,28)</f>
        <v>45440</v>
      </c>
      <c r="E27">
        <f t="shared" si="0"/>
        <v>608</v>
      </c>
      <c r="F27">
        <f t="shared" si="1"/>
        <v>0.71819814508330271</v>
      </c>
      <c r="G27">
        <f t="shared" si="3"/>
        <v>17862.066690925065</v>
      </c>
      <c r="H27" s="5">
        <f t="shared" si="4"/>
        <v>1475.1957</v>
      </c>
      <c r="I27" s="5">
        <f t="shared" si="5"/>
        <v>1944.5667999999998</v>
      </c>
      <c r="J27" s="5">
        <f t="shared" si="6"/>
        <v>50.420700000000004</v>
      </c>
    </row>
    <row r="28" spans="1:10" ht="17.399999999999999" thickBot="1" x14ac:dyDescent="0.35">
      <c r="A28">
        <v>21</v>
      </c>
      <c r="B28" s="8">
        <f t="shared" si="2"/>
        <v>21400.483499999998</v>
      </c>
      <c r="C28" s="6">
        <v>45471</v>
      </c>
      <c r="D28" s="1">
        <f>DATE(2024,6,28)</f>
        <v>45471</v>
      </c>
      <c r="E28">
        <f t="shared" si="0"/>
        <v>639</v>
      </c>
      <c r="F28">
        <f t="shared" si="1"/>
        <v>0.70617872405407844</v>
      </c>
      <c r="G28">
        <f t="shared" si="3"/>
        <v>17563.135676580256</v>
      </c>
      <c r="H28" s="5">
        <f t="shared" si="4"/>
        <v>1475.1957</v>
      </c>
      <c r="I28" s="5">
        <f t="shared" si="5"/>
        <v>1944.5667999999998</v>
      </c>
      <c r="J28" s="5">
        <f t="shared" si="6"/>
        <v>50.420700000000004</v>
      </c>
    </row>
    <row r="29" spans="1:10" ht="17.399999999999999" thickBot="1" x14ac:dyDescent="0.35">
      <c r="A29">
        <v>22</v>
      </c>
      <c r="B29" s="8">
        <f t="shared" si="2"/>
        <v>21400.483499999998</v>
      </c>
      <c r="C29" s="6">
        <v>45501</v>
      </c>
      <c r="D29" s="1">
        <f>DATE(2024,7,28)</f>
        <v>45501</v>
      </c>
      <c r="E29">
        <f t="shared" si="0"/>
        <v>669</v>
      </c>
      <c r="F29">
        <f t="shared" si="1"/>
        <v>0.69473858371699659</v>
      </c>
      <c r="G29">
        <f t="shared" si="3"/>
        <v>17278.611759255469</v>
      </c>
      <c r="H29" s="5">
        <f t="shared" si="4"/>
        <v>1475.1957</v>
      </c>
      <c r="I29" s="5">
        <f t="shared" si="5"/>
        <v>1944.5667999999998</v>
      </c>
      <c r="J29" s="5">
        <f t="shared" si="6"/>
        <v>50.420700000000004</v>
      </c>
    </row>
    <row r="30" spans="1:10" ht="17.399999999999999" thickBot="1" x14ac:dyDescent="0.35">
      <c r="A30">
        <v>23</v>
      </c>
      <c r="B30" s="8">
        <f t="shared" si="2"/>
        <v>21400.483499999998</v>
      </c>
      <c r="C30" s="6">
        <v>45532</v>
      </c>
      <c r="D30" s="1">
        <f>DATE(2024,8,28)</f>
        <v>45532</v>
      </c>
      <c r="E30">
        <f t="shared" si="0"/>
        <v>700</v>
      </c>
      <c r="F30">
        <f t="shared" si="1"/>
        <v>0.68311177069874107</v>
      </c>
      <c r="G30">
        <f t="shared" si="3"/>
        <v>16989.445167895214</v>
      </c>
      <c r="H30" s="5">
        <f t="shared" si="4"/>
        <v>1475.1957</v>
      </c>
      <c r="I30" s="5">
        <f t="shared" si="5"/>
        <v>1944.5667999999998</v>
      </c>
      <c r="J30" s="5">
        <f t="shared" si="6"/>
        <v>50.420700000000004</v>
      </c>
    </row>
    <row r="31" spans="1:10" ht="17.399999999999999" thickBot="1" x14ac:dyDescent="0.35">
      <c r="A31">
        <v>24</v>
      </c>
      <c r="B31" s="8">
        <f t="shared" si="2"/>
        <v>21400.483499999998</v>
      </c>
      <c r="C31" s="6">
        <v>45563</v>
      </c>
      <c r="D31" s="1">
        <f>DATE(2024,9,28)</f>
        <v>45563</v>
      </c>
      <c r="E31">
        <f t="shared" si="0"/>
        <v>731</v>
      </c>
      <c r="F31">
        <f t="shared" si="1"/>
        <v>0.67167953846832418</v>
      </c>
      <c r="G31">
        <f t="shared" si="3"/>
        <v>16705.117930455519</v>
      </c>
      <c r="H31" s="5">
        <f t="shared" si="4"/>
        <v>1475.1957</v>
      </c>
      <c r="I31" s="5">
        <f t="shared" si="5"/>
        <v>1944.5667999999998</v>
      </c>
      <c r="J31" s="5">
        <f t="shared" si="6"/>
        <v>50.420700000000004</v>
      </c>
    </row>
    <row r="32" spans="1:10" ht="17.399999999999999" thickBot="1" x14ac:dyDescent="0.35">
      <c r="A32">
        <v>25</v>
      </c>
      <c r="B32" s="8">
        <f t="shared" si="2"/>
        <v>21400.483499999998</v>
      </c>
      <c r="C32" s="6">
        <v>45593</v>
      </c>
      <c r="D32" s="1">
        <f>DATE(2024,10,28)</f>
        <v>45593</v>
      </c>
      <c r="E32">
        <f t="shared" si="0"/>
        <v>761</v>
      </c>
      <c r="F32">
        <f t="shared" si="1"/>
        <v>0.66079828713649325</v>
      </c>
      <c r="G32">
        <f t="shared" si="3"/>
        <v>16434.49395530262</v>
      </c>
      <c r="H32" s="5">
        <f t="shared" si="4"/>
        <v>1475.1957</v>
      </c>
      <c r="I32" s="5">
        <f t="shared" si="5"/>
        <v>1944.5667999999998</v>
      </c>
      <c r="J32" s="5">
        <f t="shared" si="6"/>
        <v>50.420700000000004</v>
      </c>
    </row>
    <row r="33" spans="1:10" ht="17.399999999999999" thickBot="1" x14ac:dyDescent="0.35">
      <c r="A33">
        <v>26</v>
      </c>
      <c r="B33" s="8">
        <f t="shared" si="2"/>
        <v>21400.483499999998</v>
      </c>
      <c r="C33" s="6">
        <v>45624</v>
      </c>
      <c r="D33" s="1">
        <f>DATE(2024,11,28)</f>
        <v>45624</v>
      </c>
      <c r="E33">
        <f t="shared" si="0"/>
        <v>792</v>
      </c>
      <c r="F33">
        <f t="shared" si="1"/>
        <v>0.6497394827064672</v>
      </c>
      <c r="G33">
        <f t="shared" si="3"/>
        <v>16159.454116222958</v>
      </c>
      <c r="H33" s="5">
        <f t="shared" si="4"/>
        <v>1475.1957</v>
      </c>
      <c r="I33" s="5">
        <f t="shared" si="5"/>
        <v>1944.5667999999998</v>
      </c>
      <c r="J33" s="5">
        <f t="shared" si="6"/>
        <v>50.420700000000004</v>
      </c>
    </row>
    <row r="34" spans="1:10" ht="17.399999999999999" thickBot="1" x14ac:dyDescent="0.35">
      <c r="A34">
        <v>27</v>
      </c>
      <c r="B34" s="8">
        <f t="shared" si="2"/>
        <v>21400.483499999998</v>
      </c>
      <c r="C34" s="6">
        <v>45654</v>
      </c>
      <c r="D34" s="1">
        <f>DATE(2024,12,28)</f>
        <v>45654</v>
      </c>
      <c r="E34">
        <f t="shared" si="0"/>
        <v>822</v>
      </c>
      <c r="F34">
        <f t="shared" si="1"/>
        <v>0.63921366167630012</v>
      </c>
      <c r="G34">
        <f t="shared" si="3"/>
        <v>15897.669929637823</v>
      </c>
      <c r="H34" s="5">
        <f t="shared" si="4"/>
        <v>1475.1957</v>
      </c>
      <c r="I34" s="5">
        <f t="shared" si="5"/>
        <v>1944.5667999999998</v>
      </c>
      <c r="J34" s="5">
        <f t="shared" si="6"/>
        <v>50.420700000000004</v>
      </c>
    </row>
    <row r="35" spans="1:10" ht="17.399999999999999" thickBot="1" x14ac:dyDescent="0.35">
      <c r="A35">
        <v>28</v>
      </c>
      <c r="B35" s="8">
        <f t="shared" si="2"/>
        <v>21400.483499999998</v>
      </c>
      <c r="C35" s="6">
        <v>45685</v>
      </c>
      <c r="D35" s="1">
        <f>DATE(2025,1,28)</f>
        <v>45685</v>
      </c>
      <c r="E35">
        <f t="shared" si="0"/>
        <v>853</v>
      </c>
      <c r="F35">
        <f t="shared" si="1"/>
        <v>0.62851608722568897</v>
      </c>
      <c r="G35">
        <f t="shared" si="3"/>
        <v>15631.614120978236</v>
      </c>
      <c r="H35" s="5">
        <f t="shared" si="4"/>
        <v>1475.1957</v>
      </c>
      <c r="I35" s="5">
        <f t="shared" si="5"/>
        <v>1944.5667999999998</v>
      </c>
      <c r="J35" s="5">
        <f t="shared" si="6"/>
        <v>50.420700000000004</v>
      </c>
    </row>
    <row r="36" spans="1:10" ht="17.399999999999999" thickBot="1" x14ac:dyDescent="0.35">
      <c r="A36">
        <v>29</v>
      </c>
      <c r="B36" s="8">
        <f t="shared" si="2"/>
        <v>21400.483499999998</v>
      </c>
      <c r="C36" s="6">
        <v>45716</v>
      </c>
      <c r="D36" s="1">
        <f>DATE(2025,2,28)</f>
        <v>45716</v>
      </c>
      <c r="E36">
        <f t="shared" si="0"/>
        <v>884</v>
      </c>
      <c r="F36">
        <f t="shared" si="1"/>
        <v>0.61799754227020176</v>
      </c>
      <c r="G36">
        <f t="shared" si="3"/>
        <v>15370.010895221349</v>
      </c>
      <c r="H36" s="5">
        <f t="shared" si="4"/>
        <v>1475.1957</v>
      </c>
      <c r="I36" s="5">
        <f t="shared" si="5"/>
        <v>1944.5667999999998</v>
      </c>
      <c r="J36" s="5">
        <f t="shared" si="6"/>
        <v>50.420700000000004</v>
      </c>
    </row>
    <row r="37" spans="1:10" ht="17.399999999999999" thickBot="1" x14ac:dyDescent="0.35">
      <c r="A37">
        <v>30</v>
      </c>
      <c r="B37" s="8">
        <f t="shared" si="2"/>
        <v>21400.483499999998</v>
      </c>
      <c r="C37" s="6">
        <v>45744</v>
      </c>
      <c r="D37" s="1">
        <f>DATE(2025,3,28)</f>
        <v>45744</v>
      </c>
      <c r="E37">
        <f t="shared" si="0"/>
        <v>912</v>
      </c>
      <c r="F37">
        <f t="shared" si="1"/>
        <v>0.60864830749355414</v>
      </c>
      <c r="G37">
        <f t="shared" si="3"/>
        <v>15137.489193191297</v>
      </c>
      <c r="H37" s="5">
        <f t="shared" si="4"/>
        <v>1475.1957</v>
      </c>
      <c r="I37" s="5">
        <f t="shared" si="5"/>
        <v>1944.5667999999998</v>
      </c>
      <c r="J37" s="5">
        <f t="shared" si="6"/>
        <v>50.420700000000004</v>
      </c>
    </row>
    <row r="38" spans="1:10" ht="17.399999999999999" thickBot="1" x14ac:dyDescent="0.35">
      <c r="A38">
        <v>31</v>
      </c>
      <c r="B38" s="8">
        <f t="shared" si="2"/>
        <v>21400.483499999998</v>
      </c>
      <c r="C38" s="6">
        <v>45775</v>
      </c>
      <c r="D38" s="1">
        <f>DATE(2025,4,28)</f>
        <v>45775</v>
      </c>
      <c r="E38">
        <f t="shared" si="0"/>
        <v>943</v>
      </c>
      <c r="F38">
        <f t="shared" si="1"/>
        <v>0.59846226020761861</v>
      </c>
      <c r="G38">
        <f t="shared" si="3"/>
        <v>14884.155406152355</v>
      </c>
      <c r="H38" s="5">
        <f t="shared" si="4"/>
        <v>1475.1957</v>
      </c>
      <c r="I38" s="5">
        <f t="shared" si="5"/>
        <v>1944.5667999999998</v>
      </c>
      <c r="J38" s="5">
        <f t="shared" si="6"/>
        <v>50.420700000000004</v>
      </c>
    </row>
    <row r="39" spans="1:10" ht="17.399999999999999" thickBot="1" x14ac:dyDescent="0.35">
      <c r="A39">
        <v>32</v>
      </c>
      <c r="B39" s="8">
        <f>17686.35*1.21</f>
        <v>21400.483499999998</v>
      </c>
      <c r="C39" s="6">
        <v>45805</v>
      </c>
      <c r="D39" s="1">
        <f>DATE(2025,5,28)</f>
        <v>45805</v>
      </c>
      <c r="E39">
        <f t="shared" si="0"/>
        <v>973</v>
      </c>
      <c r="F39">
        <f t="shared" si="1"/>
        <v>0.58876713345002174</v>
      </c>
      <c r="G39">
        <f t="shared" si="3"/>
        <v>14643.031139949911</v>
      </c>
      <c r="H39" s="5">
        <f t="shared" si="4"/>
        <v>1475.1957</v>
      </c>
      <c r="I39" s="5">
        <f t="shared" si="5"/>
        <v>1944.5667999999998</v>
      </c>
      <c r="J39" s="5">
        <f t="shared" si="6"/>
        <v>50.420700000000004</v>
      </c>
    </row>
    <row r="40" spans="1:10" ht="17.399999999999999" thickBot="1" x14ac:dyDescent="0.35">
      <c r="A40">
        <v>33</v>
      </c>
      <c r="B40" s="8">
        <f t="shared" si="2"/>
        <v>21400.483499999998</v>
      </c>
      <c r="C40" s="6">
        <v>45836</v>
      </c>
      <c r="D40" s="1">
        <f>DATE(2025,6,28)</f>
        <v>45836</v>
      </c>
      <c r="E40">
        <f t="shared" si="0"/>
        <v>1004</v>
      </c>
      <c r="F40">
        <f t="shared" si="1"/>
        <v>0.57891380799443393</v>
      </c>
      <c r="G40">
        <f t="shared" si="3"/>
        <v>14397.972366657361</v>
      </c>
      <c r="H40" s="5">
        <f t="shared" si="4"/>
        <v>1475.1957</v>
      </c>
      <c r="I40" s="5">
        <f t="shared" si="5"/>
        <v>1944.5667999999998</v>
      </c>
      <c r="J40" s="5">
        <f t="shared" si="6"/>
        <v>50.420700000000004</v>
      </c>
    </row>
    <row r="41" spans="1:10" ht="17.399999999999999" thickBot="1" x14ac:dyDescent="0.35">
      <c r="A41">
        <v>34</v>
      </c>
      <c r="B41" s="8">
        <f t="shared" si="2"/>
        <v>21400.483499999998</v>
      </c>
      <c r="C41" s="6">
        <v>45866</v>
      </c>
      <c r="D41" s="1">
        <f>DATE(2025,7,28)</f>
        <v>45866</v>
      </c>
      <c r="E41">
        <f t="shared" si="0"/>
        <v>1034</v>
      </c>
      <c r="F41">
        <f t="shared" si="1"/>
        <v>0.56953536740858623</v>
      </c>
      <c r="G41">
        <f t="shared" si="3"/>
        <v>14164.72429668099</v>
      </c>
      <c r="H41" s="5">
        <f t="shared" si="4"/>
        <v>1475.1957</v>
      </c>
      <c r="I41" s="5">
        <f t="shared" si="5"/>
        <v>1944.5667999999998</v>
      </c>
      <c r="J41" s="5">
        <f t="shared" si="6"/>
        <v>50.420700000000004</v>
      </c>
    </row>
    <row r="42" spans="1:10" ht="17.399999999999999" thickBot="1" x14ac:dyDescent="0.35">
      <c r="A42">
        <v>35</v>
      </c>
      <c r="B42" s="8">
        <f t="shared" si="2"/>
        <v>21400.483499999998</v>
      </c>
      <c r="C42" s="6">
        <v>45897</v>
      </c>
      <c r="D42" s="1">
        <f>DATE(2025,8,28)</f>
        <v>45897</v>
      </c>
      <c r="E42">
        <f t="shared" si="0"/>
        <v>1065</v>
      </c>
      <c r="F42">
        <f t="shared" si="1"/>
        <v>0.56000389560128494</v>
      </c>
      <c r="G42">
        <f t="shared" si="3"/>
        <v>13927.670238201154</v>
      </c>
      <c r="H42" s="5">
        <f t="shared" si="4"/>
        <v>1475.1957</v>
      </c>
      <c r="I42" s="5">
        <f t="shared" si="5"/>
        <v>1944.5667999999998</v>
      </c>
      <c r="J42" s="5">
        <f t="shared" si="6"/>
        <v>50.420700000000004</v>
      </c>
    </row>
    <row r="43" spans="1:10" ht="17.399999999999999" thickBot="1" x14ac:dyDescent="0.35">
      <c r="A43">
        <v>36</v>
      </c>
      <c r="B43" s="8">
        <f t="shared" si="2"/>
        <v>21400.483499999998</v>
      </c>
      <c r="C43" s="6">
        <v>45928</v>
      </c>
      <c r="D43" s="1">
        <f>DATE(2025,9,28)</f>
        <v>45928</v>
      </c>
      <c r="E43">
        <f t="shared" si="0"/>
        <v>1096</v>
      </c>
      <c r="F43">
        <f t="shared" si="1"/>
        <v>0.55063193795238718</v>
      </c>
      <c r="G43">
        <f t="shared" si="3"/>
        <v>13694.583403188901</v>
      </c>
      <c r="H43" s="5">
        <f t="shared" si="4"/>
        <v>1475.1957</v>
      </c>
      <c r="I43" s="5">
        <f t="shared" si="5"/>
        <v>1944.5667999999998</v>
      </c>
      <c r="J43" s="5">
        <f t="shared" si="6"/>
        <v>50.420700000000004</v>
      </c>
    </row>
    <row r="44" spans="1:10" ht="17.399999999999999" thickBot="1" x14ac:dyDescent="0.35">
      <c r="A44" t="s">
        <v>20</v>
      </c>
      <c r="B44" s="8">
        <f>5000*1.21</f>
        <v>6050</v>
      </c>
      <c r="C44" s="6">
        <v>45957</v>
      </c>
      <c r="D44" s="1">
        <f>DATE(2025,10,28)</f>
        <v>45958</v>
      </c>
      <c r="E44">
        <f t="shared" si="0"/>
        <v>1125</v>
      </c>
      <c r="F44">
        <f t="shared" si="1"/>
        <v>0.54200666658028307</v>
      </c>
      <c r="G44">
        <f t="shared" ref="G44:G45" si="7">B44*F44</f>
        <v>3279.1403328107126</v>
      </c>
    </row>
    <row r="45" spans="1:10" ht="16.8" x14ac:dyDescent="0.3">
      <c r="A45" t="s">
        <v>21</v>
      </c>
      <c r="B45" s="15">
        <v>0</v>
      </c>
      <c r="C45" s="6">
        <v>45957</v>
      </c>
      <c r="D45" s="1">
        <f>DATE(2025,10,28)</f>
        <v>45958</v>
      </c>
      <c r="E45">
        <f t="shared" si="0"/>
        <v>1125</v>
      </c>
      <c r="F45">
        <f t="shared" si="1"/>
        <v>0.54200666658028307</v>
      </c>
      <c r="G45">
        <f t="shared" si="7"/>
        <v>0</v>
      </c>
    </row>
    <row r="46" spans="1:10" x14ac:dyDescent="0.3">
      <c r="A46" t="s">
        <v>22</v>
      </c>
      <c r="G46" s="20">
        <f>SUM(G7:G45)</f>
        <v>841800.57629095914</v>
      </c>
    </row>
    <row r="48" spans="1:10" x14ac:dyDescent="0.3">
      <c r="A48" t="s">
        <v>23</v>
      </c>
      <c r="B48" t="s">
        <v>24</v>
      </c>
    </row>
    <row r="49" spans="2:2" x14ac:dyDescent="0.3">
      <c r="B49" t="s">
        <v>25</v>
      </c>
    </row>
    <row r="50" spans="2:2" x14ac:dyDescent="0.3">
      <c r="B50" t="s">
        <v>26</v>
      </c>
    </row>
    <row r="51" spans="2:2" x14ac:dyDescent="0.3">
      <c r="B51" t="s">
        <v>27</v>
      </c>
    </row>
    <row r="52" spans="2:2" x14ac:dyDescent="0.3">
      <c r="B52" t="s">
        <v>28</v>
      </c>
    </row>
    <row r="53" spans="2:2" x14ac:dyDescent="0.3">
      <c r="B53" t="s">
        <v>29</v>
      </c>
    </row>
    <row r="54" spans="2:2" x14ac:dyDescent="0.3">
      <c r="B54" t="s">
        <v>30</v>
      </c>
    </row>
    <row r="55" spans="2:2" x14ac:dyDescent="0.3">
      <c r="B55" t="s">
        <v>31</v>
      </c>
    </row>
    <row r="56" spans="2:2" x14ac:dyDescent="0.3">
      <c r="B56" t="s">
        <v>32</v>
      </c>
    </row>
    <row r="57" spans="2:2" x14ac:dyDescent="0.3">
      <c r="B57" t="s">
        <v>33</v>
      </c>
    </row>
    <row r="58" spans="2:2" x14ac:dyDescent="0.3">
      <c r="B58" t="s">
        <v>34</v>
      </c>
    </row>
    <row r="59" spans="2:2" x14ac:dyDescent="0.3">
      <c r="B59" t="s">
        <v>35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D1DE-1155-4FCB-8756-19D66AD06B4F}">
  <dimension ref="A1:BA39"/>
  <sheetViews>
    <sheetView workbookViewId="0">
      <selection activeCell="D2" sqref="D2"/>
    </sheetView>
  </sheetViews>
  <sheetFormatPr defaultRowHeight="14.4" x14ac:dyDescent="0.3"/>
  <cols>
    <col min="4" max="4" width="14.44140625" customWidth="1"/>
    <col min="6" max="6" width="11" bestFit="1" customWidth="1"/>
    <col min="19" max="19" width="14.33203125" style="11" customWidth="1"/>
  </cols>
  <sheetData>
    <row r="1" spans="1:53" x14ac:dyDescent="0.3">
      <c r="A1" t="s">
        <v>36</v>
      </c>
    </row>
    <row r="2" spans="1:53" ht="53.4" thickBot="1" x14ac:dyDescent="0.35">
      <c r="A2" s="2" t="s">
        <v>37</v>
      </c>
      <c r="B2" s="2" t="s">
        <v>38</v>
      </c>
      <c r="C2" s="2" t="s">
        <v>39</v>
      </c>
      <c r="D2" s="2" t="s">
        <v>40</v>
      </c>
      <c r="E2" s="2" t="s">
        <v>41</v>
      </c>
      <c r="F2" s="2" t="s">
        <v>42</v>
      </c>
      <c r="G2" s="2" t="s">
        <v>43</v>
      </c>
      <c r="H2" s="2" t="s">
        <v>44</v>
      </c>
      <c r="I2" s="2" t="s">
        <v>45</v>
      </c>
      <c r="J2" s="2" t="s">
        <v>46</v>
      </c>
      <c r="K2" s="2" t="s">
        <v>47</v>
      </c>
      <c r="L2" s="2" t="s">
        <v>48</v>
      </c>
      <c r="M2" s="2" t="s">
        <v>49</v>
      </c>
      <c r="N2" s="2" t="s">
        <v>50</v>
      </c>
      <c r="O2" s="2" t="s">
        <v>51</v>
      </c>
      <c r="P2" s="2" t="s">
        <v>52</v>
      </c>
      <c r="Q2" s="2" t="s">
        <v>53</v>
      </c>
      <c r="R2" s="2" t="s">
        <v>54</v>
      </c>
      <c r="S2" s="12" t="s">
        <v>55</v>
      </c>
      <c r="T2" s="2" t="s">
        <v>56</v>
      </c>
      <c r="U2" s="2" t="s">
        <v>57</v>
      </c>
      <c r="V2" s="2" t="s">
        <v>58</v>
      </c>
      <c r="W2" s="2" t="s">
        <v>59</v>
      </c>
      <c r="X2" s="2" t="s">
        <v>60</v>
      </c>
      <c r="Y2" s="2" t="s">
        <v>61</v>
      </c>
      <c r="Z2" s="2" t="s">
        <v>62</v>
      </c>
      <c r="AA2" s="2" t="s">
        <v>63</v>
      </c>
      <c r="AB2" s="2" t="s">
        <v>64</v>
      </c>
      <c r="AC2" s="2" t="s">
        <v>65</v>
      </c>
      <c r="AD2" s="2" t="s">
        <v>66</v>
      </c>
      <c r="AE2" s="2" t="s">
        <v>67</v>
      </c>
      <c r="AF2" s="2" t="s">
        <v>68</v>
      </c>
      <c r="AG2" s="2" t="s">
        <v>69</v>
      </c>
      <c r="AH2" s="2" t="s">
        <v>70</v>
      </c>
      <c r="AI2" s="2" t="s">
        <v>71</v>
      </c>
      <c r="AJ2" s="2" t="s">
        <v>72</v>
      </c>
      <c r="AK2" s="2" t="s">
        <v>73</v>
      </c>
      <c r="AL2" s="2" t="s">
        <v>74</v>
      </c>
      <c r="AM2" s="2" t="s">
        <v>75</v>
      </c>
      <c r="AN2" s="2" t="s">
        <v>76</v>
      </c>
      <c r="AO2" s="2" t="s">
        <v>77</v>
      </c>
      <c r="AP2" s="2" t="s">
        <v>78</v>
      </c>
      <c r="AQ2" s="2" t="s">
        <v>79</v>
      </c>
      <c r="AR2" s="2" t="s">
        <v>80</v>
      </c>
      <c r="AS2" s="2" t="s">
        <v>81</v>
      </c>
      <c r="AT2" s="2" t="s">
        <v>82</v>
      </c>
      <c r="AU2" s="2" t="s">
        <v>83</v>
      </c>
      <c r="AV2" s="2" t="s">
        <v>84</v>
      </c>
      <c r="AW2" s="2" t="s">
        <v>85</v>
      </c>
      <c r="AX2" s="2" t="s">
        <v>86</v>
      </c>
      <c r="AY2" s="2" t="s">
        <v>87</v>
      </c>
      <c r="AZ2" s="2" t="s">
        <v>88</v>
      </c>
      <c r="BA2" s="2" t="s">
        <v>89</v>
      </c>
    </row>
    <row r="3" spans="1:53" ht="17.399999999999999" thickBot="1" x14ac:dyDescent="0.35">
      <c r="A3" s="3">
        <v>1</v>
      </c>
      <c r="B3" s="4">
        <v>44862</v>
      </c>
      <c r="C3" s="4">
        <v>44892</v>
      </c>
      <c r="D3" s="10">
        <v>44862</v>
      </c>
      <c r="E3" s="4">
        <v>44892</v>
      </c>
      <c r="F3" s="4">
        <v>44922</v>
      </c>
      <c r="G3" s="3"/>
      <c r="H3" s="3" t="s">
        <v>90</v>
      </c>
      <c r="I3" s="3" t="s">
        <v>90</v>
      </c>
      <c r="J3" s="3" t="s">
        <v>90</v>
      </c>
      <c r="K3" s="3" t="s">
        <v>90</v>
      </c>
      <c r="L3" s="3" t="s">
        <v>90</v>
      </c>
      <c r="M3" s="3" t="s">
        <v>90</v>
      </c>
      <c r="N3" s="3" t="s">
        <v>90</v>
      </c>
      <c r="O3" s="3" t="s">
        <v>90</v>
      </c>
      <c r="P3" s="5" t="s">
        <v>91</v>
      </c>
      <c r="Q3" s="5" t="s">
        <v>92</v>
      </c>
      <c r="R3" s="5">
        <v>0</v>
      </c>
      <c r="S3" s="13" t="s">
        <v>93</v>
      </c>
      <c r="T3" s="5" t="s">
        <v>94</v>
      </c>
      <c r="U3" s="5" t="s">
        <v>95</v>
      </c>
      <c r="V3" s="5" t="s">
        <v>96</v>
      </c>
      <c r="W3" s="5">
        <v>882</v>
      </c>
      <c r="X3" s="5" t="s">
        <v>97</v>
      </c>
      <c r="Y3" s="5" t="s">
        <v>98</v>
      </c>
      <c r="Z3" s="5" t="s">
        <v>99</v>
      </c>
      <c r="AA3" s="5">
        <v>41.67</v>
      </c>
      <c r="AB3" s="5"/>
      <c r="AC3" s="5"/>
      <c r="AD3" s="5">
        <v>0</v>
      </c>
      <c r="AE3" s="5" t="s">
        <v>100</v>
      </c>
      <c r="AF3" s="5" t="s">
        <v>101</v>
      </c>
      <c r="AG3" s="5" t="s">
        <v>102</v>
      </c>
      <c r="AH3" s="5" t="s">
        <v>102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3" t="s">
        <v>103</v>
      </c>
      <c r="AO3" s="5">
        <v>9</v>
      </c>
      <c r="AP3" s="5">
        <v>2</v>
      </c>
      <c r="AQ3" s="5">
        <v>933.33</v>
      </c>
      <c r="AR3" s="5">
        <v>0</v>
      </c>
      <c r="AS3" s="5">
        <v>0</v>
      </c>
      <c r="AT3" s="5">
        <v>0</v>
      </c>
      <c r="AU3" s="5">
        <v>0</v>
      </c>
      <c r="AV3" s="5">
        <v>0</v>
      </c>
      <c r="AW3" s="3" t="s">
        <v>104</v>
      </c>
      <c r="AX3" s="3" t="s">
        <v>105</v>
      </c>
      <c r="AY3" s="3" t="s">
        <v>105</v>
      </c>
      <c r="AZ3" s="5"/>
      <c r="BA3" s="5">
        <v>0</v>
      </c>
    </row>
    <row r="4" spans="1:53" ht="17.399999999999999" thickBot="1" x14ac:dyDescent="0.35">
      <c r="A4" s="3">
        <v>2</v>
      </c>
      <c r="B4" s="4">
        <v>44893</v>
      </c>
      <c r="C4" s="4">
        <v>44922</v>
      </c>
      <c r="D4" s="10">
        <v>44893</v>
      </c>
      <c r="E4" s="4">
        <v>44922</v>
      </c>
      <c r="F4" s="4">
        <v>44953</v>
      </c>
      <c r="G4" s="3"/>
      <c r="H4" s="3" t="s">
        <v>90</v>
      </c>
      <c r="I4" s="3" t="s">
        <v>90</v>
      </c>
      <c r="J4" s="3" t="s">
        <v>90</v>
      </c>
      <c r="K4" s="3" t="s">
        <v>90</v>
      </c>
      <c r="L4" s="3" t="s">
        <v>90</v>
      </c>
      <c r="M4" s="3" t="s">
        <v>90</v>
      </c>
      <c r="N4" s="3" t="s">
        <v>90</v>
      </c>
      <c r="O4" s="3" t="s">
        <v>90</v>
      </c>
      <c r="P4" s="5" t="s">
        <v>91</v>
      </c>
      <c r="Q4" s="5" t="s">
        <v>92</v>
      </c>
      <c r="R4" s="5">
        <v>0</v>
      </c>
      <c r="S4" s="13" t="s">
        <v>93</v>
      </c>
      <c r="T4" s="5" t="s">
        <v>106</v>
      </c>
      <c r="U4" s="5" t="s">
        <v>107</v>
      </c>
      <c r="V4" s="5" t="s">
        <v>108</v>
      </c>
      <c r="W4" s="5">
        <v>860.76</v>
      </c>
      <c r="X4" s="5" t="s">
        <v>97</v>
      </c>
      <c r="Y4" s="5" t="s">
        <v>98</v>
      </c>
      <c r="Z4" s="5" t="s">
        <v>99</v>
      </c>
      <c r="AA4" s="5">
        <v>41.67</v>
      </c>
      <c r="AB4" s="5"/>
      <c r="AC4" s="5"/>
      <c r="AD4" s="5">
        <v>0</v>
      </c>
      <c r="AE4" s="5" t="s">
        <v>102</v>
      </c>
      <c r="AF4" s="5" t="s">
        <v>109</v>
      </c>
      <c r="AG4" s="5" t="s">
        <v>110</v>
      </c>
      <c r="AH4" s="5" t="s">
        <v>110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3" t="s">
        <v>103</v>
      </c>
      <c r="AO4" s="5">
        <v>9</v>
      </c>
      <c r="AP4" s="5">
        <v>2</v>
      </c>
      <c r="AQ4" s="5">
        <v>910.86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3" t="s">
        <v>104</v>
      </c>
      <c r="AX4" s="3" t="s">
        <v>105</v>
      </c>
      <c r="AY4" s="3" t="s">
        <v>105</v>
      </c>
      <c r="AZ4" s="5"/>
      <c r="BA4" s="5">
        <v>0</v>
      </c>
    </row>
    <row r="5" spans="1:53" ht="17.399999999999999" thickBot="1" x14ac:dyDescent="0.35">
      <c r="A5" s="3">
        <v>3</v>
      </c>
      <c r="B5" s="4">
        <v>44923</v>
      </c>
      <c r="C5" s="4">
        <v>44953</v>
      </c>
      <c r="D5" s="10">
        <v>44923</v>
      </c>
      <c r="E5" s="4">
        <v>44953</v>
      </c>
      <c r="F5" s="4">
        <v>44983</v>
      </c>
      <c r="G5" s="3"/>
      <c r="H5" s="3" t="s">
        <v>90</v>
      </c>
      <c r="I5" s="3" t="s">
        <v>90</v>
      </c>
      <c r="J5" s="3" t="s">
        <v>90</v>
      </c>
      <c r="K5" s="3" t="s">
        <v>90</v>
      </c>
      <c r="L5" s="3" t="s">
        <v>90</v>
      </c>
      <c r="M5" s="3" t="s">
        <v>90</v>
      </c>
      <c r="N5" s="3" t="s">
        <v>90</v>
      </c>
      <c r="O5" s="3" t="s">
        <v>90</v>
      </c>
      <c r="P5" s="5" t="s">
        <v>91</v>
      </c>
      <c r="Q5" s="5" t="s">
        <v>92</v>
      </c>
      <c r="R5" s="5">
        <v>0</v>
      </c>
      <c r="S5" s="13" t="s">
        <v>93</v>
      </c>
      <c r="T5" s="5" t="s">
        <v>111</v>
      </c>
      <c r="U5" s="5" t="s">
        <v>112</v>
      </c>
      <c r="V5" s="5" t="s">
        <v>113</v>
      </c>
      <c r="W5" s="5">
        <v>839.36</v>
      </c>
      <c r="X5" s="5" t="s">
        <v>97</v>
      </c>
      <c r="Y5" s="5" t="s">
        <v>98</v>
      </c>
      <c r="Z5" s="5" t="s">
        <v>99</v>
      </c>
      <c r="AA5" s="5">
        <v>41.67</v>
      </c>
      <c r="AB5" s="5"/>
      <c r="AC5" s="5"/>
      <c r="AD5" s="5">
        <v>0</v>
      </c>
      <c r="AE5" s="5" t="s">
        <v>110</v>
      </c>
      <c r="AF5" s="5" t="s">
        <v>114</v>
      </c>
      <c r="AG5" s="5" t="s">
        <v>115</v>
      </c>
      <c r="AH5" s="5" t="s">
        <v>115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3" t="s">
        <v>103</v>
      </c>
      <c r="AO5" s="5">
        <v>9</v>
      </c>
      <c r="AP5" s="5">
        <v>2</v>
      </c>
      <c r="AQ5" s="5">
        <v>888.21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3" t="s">
        <v>104</v>
      </c>
      <c r="AX5" s="3" t="s">
        <v>105</v>
      </c>
      <c r="AY5" s="3" t="s">
        <v>105</v>
      </c>
      <c r="AZ5" s="5"/>
      <c r="BA5" s="5">
        <v>0</v>
      </c>
    </row>
    <row r="6" spans="1:53" ht="17.399999999999999" thickBot="1" x14ac:dyDescent="0.35">
      <c r="A6" s="3">
        <v>4</v>
      </c>
      <c r="B6" s="4">
        <v>44954</v>
      </c>
      <c r="C6" s="4">
        <v>44984</v>
      </c>
      <c r="D6" s="10">
        <v>44954</v>
      </c>
      <c r="E6" s="4">
        <v>44984</v>
      </c>
      <c r="F6" s="4">
        <v>45014</v>
      </c>
      <c r="G6" s="3"/>
      <c r="H6" s="3" t="s">
        <v>90</v>
      </c>
      <c r="I6" s="3" t="s">
        <v>90</v>
      </c>
      <c r="J6" s="3" t="s">
        <v>90</v>
      </c>
      <c r="K6" s="3" t="s">
        <v>90</v>
      </c>
      <c r="L6" s="3" t="s">
        <v>90</v>
      </c>
      <c r="M6" s="3" t="s">
        <v>90</v>
      </c>
      <c r="N6" s="3" t="s">
        <v>90</v>
      </c>
      <c r="O6" s="3" t="s">
        <v>90</v>
      </c>
      <c r="P6" s="5" t="s">
        <v>91</v>
      </c>
      <c r="Q6" s="5" t="s">
        <v>92</v>
      </c>
      <c r="R6" s="5">
        <v>0</v>
      </c>
      <c r="S6" s="13" t="s">
        <v>93</v>
      </c>
      <c r="T6" s="5" t="s">
        <v>116</v>
      </c>
      <c r="U6" s="5" t="s">
        <v>117</v>
      </c>
      <c r="V6" s="5" t="s">
        <v>118</v>
      </c>
      <c r="W6" s="5">
        <v>817.8</v>
      </c>
      <c r="X6" s="5" t="s">
        <v>97</v>
      </c>
      <c r="Y6" s="5" t="s">
        <v>98</v>
      </c>
      <c r="Z6" s="5" t="s">
        <v>99</v>
      </c>
      <c r="AA6" s="5">
        <v>41.67</v>
      </c>
      <c r="AB6" s="5"/>
      <c r="AC6" s="5"/>
      <c r="AD6" s="5">
        <v>0</v>
      </c>
      <c r="AE6" s="5" t="s">
        <v>115</v>
      </c>
      <c r="AF6" s="5" t="s">
        <v>119</v>
      </c>
      <c r="AG6" s="5" t="s">
        <v>120</v>
      </c>
      <c r="AH6" s="5" t="s">
        <v>120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3" t="s">
        <v>103</v>
      </c>
      <c r="AO6" s="5">
        <v>9</v>
      </c>
      <c r="AP6" s="5">
        <v>2</v>
      </c>
      <c r="AQ6" s="5">
        <v>865.39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3" t="s">
        <v>104</v>
      </c>
      <c r="AX6" s="3" t="s">
        <v>105</v>
      </c>
      <c r="AY6" s="3" t="s">
        <v>105</v>
      </c>
      <c r="AZ6" s="5"/>
      <c r="BA6" s="5">
        <v>0</v>
      </c>
    </row>
    <row r="7" spans="1:53" ht="17.399999999999999" thickBot="1" x14ac:dyDescent="0.35">
      <c r="A7" s="3">
        <v>5</v>
      </c>
      <c r="B7" s="4">
        <v>44985</v>
      </c>
      <c r="C7" s="4">
        <v>45012</v>
      </c>
      <c r="D7" s="10">
        <v>44985</v>
      </c>
      <c r="E7" s="4">
        <v>45012</v>
      </c>
      <c r="F7" s="4">
        <v>45045</v>
      </c>
      <c r="G7" s="3"/>
      <c r="H7" s="3" t="s">
        <v>90</v>
      </c>
      <c r="I7" s="3" t="s">
        <v>90</v>
      </c>
      <c r="J7" s="3" t="s">
        <v>90</v>
      </c>
      <c r="K7" s="3" t="s">
        <v>90</v>
      </c>
      <c r="L7" s="3" t="s">
        <v>90</v>
      </c>
      <c r="M7" s="3" t="s">
        <v>90</v>
      </c>
      <c r="N7" s="3" t="s">
        <v>90</v>
      </c>
      <c r="O7" s="3" t="s">
        <v>90</v>
      </c>
      <c r="P7" s="5" t="s">
        <v>91</v>
      </c>
      <c r="Q7" s="5" t="s">
        <v>92</v>
      </c>
      <c r="R7" s="5">
        <v>0</v>
      </c>
      <c r="S7" s="13" t="s">
        <v>93</v>
      </c>
      <c r="T7" s="5" t="s">
        <v>121</v>
      </c>
      <c r="U7" s="5" t="s">
        <v>122</v>
      </c>
      <c r="V7" s="5" t="s">
        <v>123</v>
      </c>
      <c r="W7" s="5">
        <v>796.07</v>
      </c>
      <c r="X7" s="5" t="s">
        <v>97</v>
      </c>
      <c r="Y7" s="5" t="s">
        <v>98</v>
      </c>
      <c r="Z7" s="5" t="s">
        <v>99</v>
      </c>
      <c r="AA7" s="5">
        <v>41.67</v>
      </c>
      <c r="AB7" s="5"/>
      <c r="AC7" s="5"/>
      <c r="AD7" s="5">
        <v>0</v>
      </c>
      <c r="AE7" s="5" t="s">
        <v>120</v>
      </c>
      <c r="AF7" s="5" t="s">
        <v>124</v>
      </c>
      <c r="AG7" s="5" t="s">
        <v>125</v>
      </c>
      <c r="AH7" s="5" t="s">
        <v>125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3" t="s">
        <v>103</v>
      </c>
      <c r="AO7" s="5">
        <v>9</v>
      </c>
      <c r="AP7" s="5">
        <v>2</v>
      </c>
      <c r="AQ7" s="5">
        <v>842.41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3" t="s">
        <v>104</v>
      </c>
      <c r="AX7" s="3" t="s">
        <v>105</v>
      </c>
      <c r="AY7" s="3" t="s">
        <v>105</v>
      </c>
      <c r="AZ7" s="5"/>
      <c r="BA7" s="5">
        <v>0</v>
      </c>
    </row>
    <row r="8" spans="1:53" ht="17.399999999999999" thickBot="1" x14ac:dyDescent="0.35">
      <c r="A8" s="3">
        <v>6</v>
      </c>
      <c r="B8" s="4">
        <v>45013</v>
      </c>
      <c r="C8" s="4">
        <v>45043</v>
      </c>
      <c r="D8" s="10">
        <v>45013</v>
      </c>
      <c r="E8" s="4">
        <v>45043</v>
      </c>
      <c r="F8" s="4">
        <v>45073</v>
      </c>
      <c r="G8" s="3"/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5" t="s">
        <v>91</v>
      </c>
      <c r="Q8" s="5" t="s">
        <v>92</v>
      </c>
      <c r="R8" s="5">
        <v>0</v>
      </c>
      <c r="S8" s="13" t="s">
        <v>93</v>
      </c>
      <c r="T8" s="5" t="s">
        <v>126</v>
      </c>
      <c r="U8" s="5" t="s">
        <v>127</v>
      </c>
      <c r="V8" s="5" t="s">
        <v>128</v>
      </c>
      <c r="W8" s="5">
        <v>774.19</v>
      </c>
      <c r="X8" s="5" t="s">
        <v>97</v>
      </c>
      <c r="Y8" s="5" t="s">
        <v>98</v>
      </c>
      <c r="Z8" s="5" t="s">
        <v>99</v>
      </c>
      <c r="AA8" s="5">
        <v>41.67</v>
      </c>
      <c r="AB8" s="5"/>
      <c r="AC8" s="5"/>
      <c r="AD8" s="5">
        <v>0</v>
      </c>
      <c r="AE8" s="5" t="s">
        <v>125</v>
      </c>
      <c r="AF8" s="5" t="s">
        <v>129</v>
      </c>
      <c r="AG8" s="5" t="s">
        <v>130</v>
      </c>
      <c r="AH8" s="5" t="s">
        <v>130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3" t="s">
        <v>103</v>
      </c>
      <c r="AO8" s="5">
        <v>9</v>
      </c>
      <c r="AP8" s="5">
        <v>2</v>
      </c>
      <c r="AQ8" s="5">
        <v>819.25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3" t="s">
        <v>104</v>
      </c>
      <c r="AX8" s="3" t="s">
        <v>105</v>
      </c>
      <c r="AY8" s="3" t="s">
        <v>105</v>
      </c>
      <c r="AZ8" s="5"/>
      <c r="BA8" s="5">
        <v>0</v>
      </c>
    </row>
    <row r="9" spans="1:53" ht="17.399999999999999" thickBot="1" x14ac:dyDescent="0.35">
      <c r="A9" s="3">
        <v>7</v>
      </c>
      <c r="B9" s="4">
        <v>45044</v>
      </c>
      <c r="C9" s="4">
        <v>45073</v>
      </c>
      <c r="D9" s="10">
        <v>45044</v>
      </c>
      <c r="E9" s="4">
        <v>45073</v>
      </c>
      <c r="F9" s="4">
        <v>45104</v>
      </c>
      <c r="G9" s="3"/>
      <c r="H9" s="3" t="s">
        <v>90</v>
      </c>
      <c r="I9" s="3" t="s">
        <v>90</v>
      </c>
      <c r="J9" s="3" t="s">
        <v>90</v>
      </c>
      <c r="K9" s="3" t="s">
        <v>90</v>
      </c>
      <c r="L9" s="3" t="s">
        <v>90</v>
      </c>
      <c r="M9" s="3" t="s">
        <v>90</v>
      </c>
      <c r="N9" s="3" t="s">
        <v>90</v>
      </c>
      <c r="O9" s="3" t="s">
        <v>90</v>
      </c>
      <c r="P9" s="5" t="s">
        <v>91</v>
      </c>
      <c r="Q9" s="5" t="s">
        <v>92</v>
      </c>
      <c r="R9" s="5">
        <v>0</v>
      </c>
      <c r="S9" s="13" t="s">
        <v>93</v>
      </c>
      <c r="T9" s="5" t="s">
        <v>131</v>
      </c>
      <c r="U9" s="5" t="s">
        <v>132</v>
      </c>
      <c r="V9" s="5" t="s">
        <v>133</v>
      </c>
      <c r="W9" s="5">
        <v>752.14</v>
      </c>
      <c r="X9" s="5" t="s">
        <v>97</v>
      </c>
      <c r="Y9" s="5" t="s">
        <v>98</v>
      </c>
      <c r="Z9" s="5" t="s">
        <v>99</v>
      </c>
      <c r="AA9" s="5">
        <v>41.67</v>
      </c>
      <c r="AB9" s="5"/>
      <c r="AC9" s="5"/>
      <c r="AD9" s="5">
        <v>0</v>
      </c>
      <c r="AE9" s="5" t="s">
        <v>130</v>
      </c>
      <c r="AF9" s="5" t="s">
        <v>134</v>
      </c>
      <c r="AG9" s="5" t="s">
        <v>135</v>
      </c>
      <c r="AH9" s="5" t="s">
        <v>135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3" t="s">
        <v>103</v>
      </c>
      <c r="AO9" s="5">
        <v>9</v>
      </c>
      <c r="AP9" s="5">
        <v>2</v>
      </c>
      <c r="AQ9" s="5">
        <v>795.92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3" t="s">
        <v>104</v>
      </c>
      <c r="AX9" s="3" t="s">
        <v>105</v>
      </c>
      <c r="AY9" s="3" t="s">
        <v>105</v>
      </c>
      <c r="AZ9" s="5"/>
      <c r="BA9" s="5">
        <v>0</v>
      </c>
    </row>
    <row r="10" spans="1:53" ht="17.399999999999999" thickBot="1" x14ac:dyDescent="0.35">
      <c r="A10" s="3">
        <v>8</v>
      </c>
      <c r="B10" s="4">
        <v>45074</v>
      </c>
      <c r="C10" s="4">
        <v>45104</v>
      </c>
      <c r="D10" s="10">
        <v>45074</v>
      </c>
      <c r="E10" s="4">
        <v>45104</v>
      </c>
      <c r="F10" s="4">
        <v>45134</v>
      </c>
      <c r="G10" s="3"/>
      <c r="H10" s="3" t="s">
        <v>90</v>
      </c>
      <c r="I10" s="3" t="s">
        <v>90</v>
      </c>
      <c r="J10" s="3" t="s">
        <v>90</v>
      </c>
      <c r="K10" s="3" t="s">
        <v>90</v>
      </c>
      <c r="L10" s="3" t="s">
        <v>90</v>
      </c>
      <c r="M10" s="3" t="s">
        <v>90</v>
      </c>
      <c r="N10" s="3" t="s">
        <v>90</v>
      </c>
      <c r="O10" s="3" t="s">
        <v>90</v>
      </c>
      <c r="P10" s="5" t="s">
        <v>91</v>
      </c>
      <c r="Q10" s="5" t="s">
        <v>92</v>
      </c>
      <c r="R10" s="5">
        <v>0</v>
      </c>
      <c r="S10" s="13" t="s">
        <v>93</v>
      </c>
      <c r="T10" s="5" t="s">
        <v>136</v>
      </c>
      <c r="U10" s="5" t="s">
        <v>137</v>
      </c>
      <c r="V10" s="5" t="s">
        <v>138</v>
      </c>
      <c r="W10" s="5">
        <v>729.92</v>
      </c>
      <c r="X10" s="5" t="s">
        <v>97</v>
      </c>
      <c r="Y10" s="5" t="s">
        <v>98</v>
      </c>
      <c r="Z10" s="5" t="s">
        <v>99</v>
      </c>
      <c r="AA10" s="5">
        <v>41.67</v>
      </c>
      <c r="AB10" s="5"/>
      <c r="AC10" s="5"/>
      <c r="AD10" s="5">
        <v>0</v>
      </c>
      <c r="AE10" s="5" t="s">
        <v>135</v>
      </c>
      <c r="AF10" s="5" t="s">
        <v>139</v>
      </c>
      <c r="AG10" s="5" t="s">
        <v>140</v>
      </c>
      <c r="AH10" s="5" t="s">
        <v>140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3" t="s">
        <v>103</v>
      </c>
      <c r="AO10" s="5">
        <v>9</v>
      </c>
      <c r="AP10" s="5">
        <v>2</v>
      </c>
      <c r="AQ10" s="5">
        <v>772.41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3" t="s">
        <v>104</v>
      </c>
      <c r="AX10" s="3" t="s">
        <v>105</v>
      </c>
      <c r="AY10" s="3" t="s">
        <v>105</v>
      </c>
      <c r="AZ10" s="5"/>
      <c r="BA10" s="5">
        <v>0</v>
      </c>
    </row>
    <row r="11" spans="1:53" ht="17.399999999999999" thickBot="1" x14ac:dyDescent="0.35">
      <c r="A11" s="3">
        <v>9</v>
      </c>
      <c r="B11" s="4">
        <v>45105</v>
      </c>
      <c r="C11" s="4">
        <v>45134</v>
      </c>
      <c r="D11" s="10">
        <v>45105</v>
      </c>
      <c r="E11" s="4">
        <v>45134</v>
      </c>
      <c r="F11" s="4">
        <v>45165</v>
      </c>
      <c r="G11" s="3"/>
      <c r="H11" s="3" t="s">
        <v>90</v>
      </c>
      <c r="I11" s="3" t="s">
        <v>90</v>
      </c>
      <c r="J11" s="3" t="s">
        <v>90</v>
      </c>
      <c r="K11" s="3" t="s">
        <v>90</v>
      </c>
      <c r="L11" s="3" t="s">
        <v>90</v>
      </c>
      <c r="M11" s="3" t="s">
        <v>90</v>
      </c>
      <c r="N11" s="3" t="s">
        <v>90</v>
      </c>
      <c r="O11" s="3" t="s">
        <v>90</v>
      </c>
      <c r="P11" s="5" t="s">
        <v>91</v>
      </c>
      <c r="Q11" s="5" t="s">
        <v>92</v>
      </c>
      <c r="R11" s="5">
        <v>0</v>
      </c>
      <c r="S11" s="13" t="s">
        <v>93</v>
      </c>
      <c r="T11" s="5" t="s">
        <v>141</v>
      </c>
      <c r="U11" s="5" t="s">
        <v>142</v>
      </c>
      <c r="V11" s="5" t="s">
        <v>143</v>
      </c>
      <c r="W11" s="5">
        <v>707.54</v>
      </c>
      <c r="X11" s="5" t="s">
        <v>97</v>
      </c>
      <c r="Y11" s="5" t="s">
        <v>98</v>
      </c>
      <c r="Z11" s="5" t="s">
        <v>99</v>
      </c>
      <c r="AA11" s="5">
        <v>41.67</v>
      </c>
      <c r="AB11" s="5"/>
      <c r="AC11" s="5"/>
      <c r="AD11" s="5">
        <v>0</v>
      </c>
      <c r="AE11" s="5" t="s">
        <v>140</v>
      </c>
      <c r="AF11" s="5" t="s">
        <v>144</v>
      </c>
      <c r="AG11" s="5" t="s">
        <v>145</v>
      </c>
      <c r="AH11" s="5" t="s">
        <v>145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3" t="s">
        <v>103</v>
      </c>
      <c r="AO11" s="5">
        <v>9</v>
      </c>
      <c r="AP11" s="5">
        <v>2</v>
      </c>
      <c r="AQ11" s="5">
        <v>748.72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3" t="s">
        <v>104</v>
      </c>
      <c r="AX11" s="3" t="s">
        <v>105</v>
      </c>
      <c r="AY11" s="3" t="s">
        <v>105</v>
      </c>
      <c r="AZ11" s="5"/>
      <c r="BA11" s="5">
        <v>0</v>
      </c>
    </row>
    <row r="12" spans="1:53" ht="17.399999999999999" thickBot="1" x14ac:dyDescent="0.35">
      <c r="A12" s="3">
        <v>10</v>
      </c>
      <c r="B12" s="4">
        <v>45135</v>
      </c>
      <c r="C12" s="4">
        <v>45165</v>
      </c>
      <c r="D12" s="10">
        <v>45135</v>
      </c>
      <c r="E12" s="4">
        <v>45165</v>
      </c>
      <c r="F12" s="4">
        <v>45195</v>
      </c>
      <c r="G12" s="3"/>
      <c r="H12" s="3" t="s">
        <v>90</v>
      </c>
      <c r="I12" s="3" t="s">
        <v>90</v>
      </c>
      <c r="J12" s="3" t="s">
        <v>90</v>
      </c>
      <c r="K12" s="3" t="s">
        <v>90</v>
      </c>
      <c r="L12" s="3" t="s">
        <v>90</v>
      </c>
      <c r="M12" s="3" t="s">
        <v>90</v>
      </c>
      <c r="N12" s="3" t="s">
        <v>90</v>
      </c>
      <c r="O12" s="3" t="s">
        <v>90</v>
      </c>
      <c r="P12" s="5" t="s">
        <v>91</v>
      </c>
      <c r="Q12" s="5" t="s">
        <v>92</v>
      </c>
      <c r="R12" s="5">
        <v>0</v>
      </c>
      <c r="S12" s="13" t="s">
        <v>93</v>
      </c>
      <c r="T12" s="5" t="s">
        <v>146</v>
      </c>
      <c r="U12" s="5" t="s">
        <v>147</v>
      </c>
      <c r="V12" s="5" t="s">
        <v>148</v>
      </c>
      <c r="W12" s="5">
        <v>684.99</v>
      </c>
      <c r="X12" s="5" t="s">
        <v>97</v>
      </c>
      <c r="Y12" s="5" t="s">
        <v>98</v>
      </c>
      <c r="Z12" s="5" t="s">
        <v>99</v>
      </c>
      <c r="AA12" s="5">
        <v>41.67</v>
      </c>
      <c r="AB12" s="5"/>
      <c r="AC12" s="5"/>
      <c r="AD12" s="5">
        <v>0</v>
      </c>
      <c r="AE12" s="5" t="s">
        <v>145</v>
      </c>
      <c r="AF12" s="5" t="s">
        <v>149</v>
      </c>
      <c r="AG12" s="5" t="s">
        <v>150</v>
      </c>
      <c r="AH12" s="5" t="s">
        <v>150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3" t="s">
        <v>103</v>
      </c>
      <c r="AO12" s="5">
        <v>9</v>
      </c>
      <c r="AP12" s="5">
        <v>2</v>
      </c>
      <c r="AQ12" s="5">
        <v>724.86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3" t="s">
        <v>104</v>
      </c>
      <c r="AX12" s="3" t="s">
        <v>105</v>
      </c>
      <c r="AY12" s="3" t="s">
        <v>105</v>
      </c>
      <c r="AZ12" s="5"/>
      <c r="BA12" s="5">
        <v>0</v>
      </c>
    </row>
    <row r="13" spans="1:53" ht="17.399999999999999" thickBot="1" x14ac:dyDescent="0.35">
      <c r="A13" s="3">
        <v>11</v>
      </c>
      <c r="B13" s="4">
        <v>45166</v>
      </c>
      <c r="C13" s="4">
        <v>45196</v>
      </c>
      <c r="D13" s="10">
        <v>45166</v>
      </c>
      <c r="E13" s="4">
        <v>45196</v>
      </c>
      <c r="F13" s="4">
        <v>45226</v>
      </c>
      <c r="G13" s="3"/>
      <c r="H13" s="3" t="s">
        <v>90</v>
      </c>
      <c r="I13" s="3" t="s">
        <v>90</v>
      </c>
      <c r="J13" s="3" t="s">
        <v>90</v>
      </c>
      <c r="K13" s="3" t="s">
        <v>90</v>
      </c>
      <c r="L13" s="3" t="s">
        <v>90</v>
      </c>
      <c r="M13" s="3" t="s">
        <v>90</v>
      </c>
      <c r="N13" s="3" t="s">
        <v>90</v>
      </c>
      <c r="O13" s="3" t="s">
        <v>90</v>
      </c>
      <c r="P13" s="5" t="s">
        <v>91</v>
      </c>
      <c r="Q13" s="5" t="s">
        <v>92</v>
      </c>
      <c r="R13" s="5">
        <v>0</v>
      </c>
      <c r="S13" s="13" t="s">
        <v>93</v>
      </c>
      <c r="T13" s="5" t="s">
        <v>151</v>
      </c>
      <c r="U13" s="5" t="s">
        <v>152</v>
      </c>
      <c r="V13" s="5" t="s">
        <v>153</v>
      </c>
      <c r="W13" s="5">
        <v>662.27</v>
      </c>
      <c r="X13" s="5" t="s">
        <v>97</v>
      </c>
      <c r="Y13" s="5" t="s">
        <v>98</v>
      </c>
      <c r="Z13" s="5" t="s">
        <v>99</v>
      </c>
      <c r="AA13" s="5">
        <v>41.67</v>
      </c>
      <c r="AB13" s="5"/>
      <c r="AC13" s="5"/>
      <c r="AD13" s="5">
        <v>0</v>
      </c>
      <c r="AE13" s="5" t="s">
        <v>150</v>
      </c>
      <c r="AF13" s="5" t="s">
        <v>154</v>
      </c>
      <c r="AG13" s="5" t="s">
        <v>155</v>
      </c>
      <c r="AH13" s="5" t="s">
        <v>155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3" t="s">
        <v>103</v>
      </c>
      <c r="AO13" s="5">
        <v>9</v>
      </c>
      <c r="AP13" s="5">
        <v>2</v>
      </c>
      <c r="AQ13" s="5">
        <v>700.82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3" t="s">
        <v>104</v>
      </c>
      <c r="AX13" s="3" t="s">
        <v>105</v>
      </c>
      <c r="AY13" s="3" t="s">
        <v>105</v>
      </c>
      <c r="AZ13" s="5"/>
      <c r="BA13" s="5">
        <v>0</v>
      </c>
    </row>
    <row r="14" spans="1:53" ht="17.399999999999999" thickBot="1" x14ac:dyDescent="0.35">
      <c r="A14" s="3">
        <v>12</v>
      </c>
      <c r="B14" s="4">
        <v>45197</v>
      </c>
      <c r="C14" s="4">
        <v>45226</v>
      </c>
      <c r="D14" s="10">
        <v>45197</v>
      </c>
      <c r="E14" s="4">
        <v>45226</v>
      </c>
      <c r="F14" s="4">
        <v>45257</v>
      </c>
      <c r="G14" s="3"/>
      <c r="H14" s="3" t="s">
        <v>90</v>
      </c>
      <c r="I14" s="3" t="s">
        <v>90</v>
      </c>
      <c r="J14" s="3" t="s">
        <v>90</v>
      </c>
      <c r="K14" s="3" t="s">
        <v>90</v>
      </c>
      <c r="L14" s="3" t="s">
        <v>90</v>
      </c>
      <c r="M14" s="3" t="s">
        <v>90</v>
      </c>
      <c r="N14" s="3" t="s">
        <v>90</v>
      </c>
      <c r="O14" s="3" t="s">
        <v>90</v>
      </c>
      <c r="P14" s="5" t="s">
        <v>91</v>
      </c>
      <c r="Q14" s="5" t="s">
        <v>92</v>
      </c>
      <c r="R14" s="5">
        <v>0</v>
      </c>
      <c r="S14" s="13" t="s">
        <v>93</v>
      </c>
      <c r="T14" s="5" t="s">
        <v>156</v>
      </c>
      <c r="U14" s="5" t="s">
        <v>157</v>
      </c>
      <c r="V14" s="5" t="s">
        <v>158</v>
      </c>
      <c r="W14" s="5">
        <v>639.39</v>
      </c>
      <c r="X14" s="5" t="s">
        <v>97</v>
      </c>
      <c r="Y14" s="5" t="s">
        <v>98</v>
      </c>
      <c r="Z14" s="5" t="s">
        <v>99</v>
      </c>
      <c r="AA14" s="5">
        <v>41.67</v>
      </c>
      <c r="AB14" s="5"/>
      <c r="AC14" s="5"/>
      <c r="AD14" s="5">
        <v>0</v>
      </c>
      <c r="AE14" s="5" t="s">
        <v>155</v>
      </c>
      <c r="AF14" s="5" t="s">
        <v>159</v>
      </c>
      <c r="AG14" s="5" t="s">
        <v>160</v>
      </c>
      <c r="AH14" s="5" t="s">
        <v>160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3" t="s">
        <v>103</v>
      </c>
      <c r="AO14" s="5">
        <v>9</v>
      </c>
      <c r="AP14" s="5">
        <v>2</v>
      </c>
      <c r="AQ14" s="5">
        <v>676.6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3" t="s">
        <v>104</v>
      </c>
      <c r="AX14" s="3" t="s">
        <v>105</v>
      </c>
      <c r="AY14" s="3" t="s">
        <v>105</v>
      </c>
      <c r="AZ14" s="5"/>
      <c r="BA14" s="5">
        <v>0</v>
      </c>
    </row>
    <row r="15" spans="1:53" ht="17.399999999999999" thickBot="1" x14ac:dyDescent="0.35">
      <c r="A15" s="3">
        <v>13</v>
      </c>
      <c r="B15" s="4">
        <v>45227</v>
      </c>
      <c r="C15" s="4">
        <v>45257</v>
      </c>
      <c r="D15" s="10">
        <v>45227</v>
      </c>
      <c r="E15" s="4">
        <v>45257</v>
      </c>
      <c r="F15" s="4">
        <v>45287</v>
      </c>
      <c r="G15" s="3"/>
      <c r="H15" s="3" t="s">
        <v>90</v>
      </c>
      <c r="I15" s="3" t="s">
        <v>90</v>
      </c>
      <c r="J15" s="3" t="s">
        <v>90</v>
      </c>
      <c r="K15" s="3" t="s">
        <v>90</v>
      </c>
      <c r="L15" s="3" t="s">
        <v>90</v>
      </c>
      <c r="M15" s="3" t="s">
        <v>90</v>
      </c>
      <c r="N15" s="3" t="s">
        <v>90</v>
      </c>
      <c r="O15" s="3" t="s">
        <v>90</v>
      </c>
      <c r="P15" s="5" t="s">
        <v>91</v>
      </c>
      <c r="Q15" s="5" t="s">
        <v>92</v>
      </c>
      <c r="R15" s="5">
        <v>0</v>
      </c>
      <c r="S15" s="13" t="s">
        <v>93</v>
      </c>
      <c r="T15" s="5" t="s">
        <v>161</v>
      </c>
      <c r="U15" s="5" t="s">
        <v>162</v>
      </c>
      <c r="V15" s="5" t="s">
        <v>163</v>
      </c>
      <c r="W15" s="5">
        <v>616.33000000000004</v>
      </c>
      <c r="X15" s="5" t="s">
        <v>97</v>
      </c>
      <c r="Y15" s="5" t="s">
        <v>98</v>
      </c>
      <c r="Z15" s="5" t="s">
        <v>99</v>
      </c>
      <c r="AA15" s="5">
        <v>41.67</v>
      </c>
      <c r="AB15" s="5"/>
      <c r="AC15" s="5"/>
      <c r="AD15" s="5">
        <v>0</v>
      </c>
      <c r="AE15" s="5" t="s">
        <v>160</v>
      </c>
      <c r="AF15" s="5" t="s">
        <v>164</v>
      </c>
      <c r="AG15" s="5" t="s">
        <v>165</v>
      </c>
      <c r="AH15" s="5" t="s">
        <v>165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3" t="s">
        <v>103</v>
      </c>
      <c r="AO15" s="5">
        <v>9</v>
      </c>
      <c r="AP15" s="5">
        <v>2</v>
      </c>
      <c r="AQ15" s="5">
        <v>652.20000000000005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3" t="s">
        <v>104</v>
      </c>
      <c r="AX15" s="3" t="s">
        <v>105</v>
      </c>
      <c r="AY15" s="3" t="s">
        <v>105</v>
      </c>
      <c r="AZ15" s="5"/>
      <c r="BA15" s="5">
        <v>0</v>
      </c>
    </row>
    <row r="16" spans="1:53" ht="17.399999999999999" thickBot="1" x14ac:dyDescent="0.35">
      <c r="A16" s="3">
        <v>14</v>
      </c>
      <c r="B16" s="4">
        <v>45258</v>
      </c>
      <c r="C16" s="4">
        <v>45287</v>
      </c>
      <c r="D16" s="10">
        <v>45258</v>
      </c>
      <c r="E16" s="4">
        <v>45287</v>
      </c>
      <c r="F16" s="4">
        <v>45318</v>
      </c>
      <c r="G16" s="3"/>
      <c r="H16" s="3" t="s">
        <v>90</v>
      </c>
      <c r="I16" s="3" t="s">
        <v>90</v>
      </c>
      <c r="J16" s="3" t="s">
        <v>90</v>
      </c>
      <c r="K16" s="3" t="s">
        <v>90</v>
      </c>
      <c r="L16" s="3" t="s">
        <v>90</v>
      </c>
      <c r="M16" s="3" t="s">
        <v>90</v>
      </c>
      <c r="N16" s="3" t="s">
        <v>90</v>
      </c>
      <c r="O16" s="3" t="s">
        <v>90</v>
      </c>
      <c r="P16" s="5" t="s">
        <v>91</v>
      </c>
      <c r="Q16" s="5" t="s">
        <v>92</v>
      </c>
      <c r="R16" s="5">
        <v>0</v>
      </c>
      <c r="S16" s="13" t="s">
        <v>93</v>
      </c>
      <c r="T16" s="5" t="s">
        <v>166</v>
      </c>
      <c r="U16" s="5" t="s">
        <v>167</v>
      </c>
      <c r="V16" s="5" t="s">
        <v>168</v>
      </c>
      <c r="W16" s="5">
        <v>593.09</v>
      </c>
      <c r="X16" s="5" t="s">
        <v>97</v>
      </c>
      <c r="Y16" s="5" t="s">
        <v>98</v>
      </c>
      <c r="Z16" s="5" t="s">
        <v>99</v>
      </c>
      <c r="AA16" s="5">
        <v>41.67</v>
      </c>
      <c r="AB16" s="5"/>
      <c r="AC16" s="5"/>
      <c r="AD16" s="5">
        <v>0</v>
      </c>
      <c r="AE16" s="5" t="s">
        <v>165</v>
      </c>
      <c r="AF16" s="5" t="s">
        <v>169</v>
      </c>
      <c r="AG16" s="5" t="s">
        <v>170</v>
      </c>
      <c r="AH16" s="5" t="s">
        <v>170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3" t="s">
        <v>103</v>
      </c>
      <c r="AO16" s="5">
        <v>9</v>
      </c>
      <c r="AP16" s="5">
        <v>2</v>
      </c>
      <c r="AQ16" s="5">
        <v>627.61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3" t="s">
        <v>104</v>
      </c>
      <c r="AX16" s="3" t="s">
        <v>105</v>
      </c>
      <c r="AY16" s="3" t="s">
        <v>105</v>
      </c>
      <c r="AZ16" s="5"/>
      <c r="BA16" s="5">
        <v>0</v>
      </c>
    </row>
    <row r="17" spans="1:53" ht="17.399999999999999" thickBot="1" x14ac:dyDescent="0.35">
      <c r="A17" s="3">
        <v>15</v>
      </c>
      <c r="B17" s="4">
        <v>45288</v>
      </c>
      <c r="C17" s="4">
        <v>45318</v>
      </c>
      <c r="D17" s="10">
        <v>45288</v>
      </c>
      <c r="E17" s="4">
        <v>45318</v>
      </c>
      <c r="F17" s="4">
        <v>45348</v>
      </c>
      <c r="G17" s="3"/>
      <c r="H17" s="3" t="s">
        <v>90</v>
      </c>
      <c r="I17" s="3" t="s">
        <v>90</v>
      </c>
      <c r="J17" s="3" t="s">
        <v>90</v>
      </c>
      <c r="K17" s="3" t="s">
        <v>90</v>
      </c>
      <c r="L17" s="3" t="s">
        <v>90</v>
      </c>
      <c r="M17" s="3" t="s">
        <v>90</v>
      </c>
      <c r="N17" s="3" t="s">
        <v>90</v>
      </c>
      <c r="O17" s="3" t="s">
        <v>90</v>
      </c>
      <c r="P17" s="5" t="s">
        <v>91</v>
      </c>
      <c r="Q17" s="5" t="s">
        <v>92</v>
      </c>
      <c r="R17" s="5">
        <v>0</v>
      </c>
      <c r="S17" s="13" t="s">
        <v>93</v>
      </c>
      <c r="T17" s="5" t="s">
        <v>171</v>
      </c>
      <c r="U17" s="5" t="s">
        <v>172</v>
      </c>
      <c r="V17" s="5" t="s">
        <v>173</v>
      </c>
      <c r="W17" s="5">
        <v>569.67999999999995</v>
      </c>
      <c r="X17" s="5" t="s">
        <v>97</v>
      </c>
      <c r="Y17" s="5" t="s">
        <v>98</v>
      </c>
      <c r="Z17" s="5" t="s">
        <v>99</v>
      </c>
      <c r="AA17" s="5">
        <v>41.67</v>
      </c>
      <c r="AB17" s="5"/>
      <c r="AC17" s="5"/>
      <c r="AD17" s="5">
        <v>0</v>
      </c>
      <c r="AE17" s="5" t="s">
        <v>170</v>
      </c>
      <c r="AF17" s="5" t="s">
        <v>174</v>
      </c>
      <c r="AG17" s="5" t="s">
        <v>175</v>
      </c>
      <c r="AH17" s="5" t="s">
        <v>175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3" t="s">
        <v>103</v>
      </c>
      <c r="AO17" s="5">
        <v>9</v>
      </c>
      <c r="AP17" s="5">
        <v>2</v>
      </c>
      <c r="AQ17" s="5">
        <v>602.84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3" t="s">
        <v>104</v>
      </c>
      <c r="AX17" s="3" t="s">
        <v>105</v>
      </c>
      <c r="AY17" s="3" t="s">
        <v>105</v>
      </c>
      <c r="AZ17" s="5"/>
      <c r="BA17" s="5">
        <v>0</v>
      </c>
    </row>
    <row r="18" spans="1:53" ht="17.399999999999999" thickBot="1" x14ac:dyDescent="0.35">
      <c r="A18" s="3">
        <v>16</v>
      </c>
      <c r="B18" s="4">
        <v>45319</v>
      </c>
      <c r="C18" s="4">
        <v>45349</v>
      </c>
      <c r="D18" s="10">
        <v>45319</v>
      </c>
      <c r="E18" s="4">
        <v>45349</v>
      </c>
      <c r="F18" s="4">
        <v>45379</v>
      </c>
      <c r="G18" s="3"/>
      <c r="H18" s="3" t="s">
        <v>90</v>
      </c>
      <c r="I18" s="3" t="s">
        <v>90</v>
      </c>
      <c r="J18" s="3" t="s">
        <v>90</v>
      </c>
      <c r="K18" s="3" t="s">
        <v>90</v>
      </c>
      <c r="L18" s="3" t="s">
        <v>90</v>
      </c>
      <c r="M18" s="3" t="s">
        <v>90</v>
      </c>
      <c r="N18" s="3" t="s">
        <v>90</v>
      </c>
      <c r="O18" s="3" t="s">
        <v>90</v>
      </c>
      <c r="P18" s="5" t="s">
        <v>91</v>
      </c>
      <c r="Q18" s="5" t="s">
        <v>92</v>
      </c>
      <c r="R18" s="5">
        <v>0</v>
      </c>
      <c r="S18" s="13" t="s">
        <v>93</v>
      </c>
      <c r="T18" s="5" t="s">
        <v>176</v>
      </c>
      <c r="U18" s="5" t="s">
        <v>177</v>
      </c>
      <c r="V18" s="5" t="s">
        <v>178</v>
      </c>
      <c r="W18" s="5">
        <v>546.1</v>
      </c>
      <c r="X18" s="5" t="s">
        <v>97</v>
      </c>
      <c r="Y18" s="5" t="s">
        <v>98</v>
      </c>
      <c r="Z18" s="5" t="s">
        <v>99</v>
      </c>
      <c r="AA18" s="5">
        <v>41.67</v>
      </c>
      <c r="AB18" s="5"/>
      <c r="AC18" s="5"/>
      <c r="AD18" s="5">
        <v>0</v>
      </c>
      <c r="AE18" s="5" t="s">
        <v>175</v>
      </c>
      <c r="AF18" s="5" t="s">
        <v>179</v>
      </c>
      <c r="AG18" s="5" t="s">
        <v>180</v>
      </c>
      <c r="AH18" s="5" t="s">
        <v>180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3" t="s">
        <v>103</v>
      </c>
      <c r="AO18" s="5">
        <v>9</v>
      </c>
      <c r="AP18" s="5">
        <v>2</v>
      </c>
      <c r="AQ18" s="5">
        <v>577.88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3" t="s">
        <v>104</v>
      </c>
      <c r="AX18" s="3" t="s">
        <v>105</v>
      </c>
      <c r="AY18" s="3" t="s">
        <v>105</v>
      </c>
      <c r="AZ18" s="5"/>
      <c r="BA18" s="5">
        <v>0</v>
      </c>
    </row>
    <row r="19" spans="1:53" ht="17.399999999999999" thickBot="1" x14ac:dyDescent="0.35">
      <c r="A19" s="3">
        <v>17</v>
      </c>
      <c r="B19" s="4">
        <v>45350</v>
      </c>
      <c r="C19" s="4">
        <v>45378</v>
      </c>
      <c r="D19" s="10">
        <v>45350</v>
      </c>
      <c r="E19" s="4">
        <v>45378</v>
      </c>
      <c r="F19" s="4">
        <v>45410</v>
      </c>
      <c r="G19" s="3"/>
      <c r="H19" s="3" t="s">
        <v>90</v>
      </c>
      <c r="I19" s="3" t="s">
        <v>90</v>
      </c>
      <c r="J19" s="3" t="s">
        <v>90</v>
      </c>
      <c r="K19" s="3" t="s">
        <v>90</v>
      </c>
      <c r="L19" s="3" t="s">
        <v>90</v>
      </c>
      <c r="M19" s="3" t="s">
        <v>90</v>
      </c>
      <c r="N19" s="3" t="s">
        <v>90</v>
      </c>
      <c r="O19" s="3" t="s">
        <v>90</v>
      </c>
      <c r="P19" s="5" t="s">
        <v>91</v>
      </c>
      <c r="Q19" s="5" t="s">
        <v>92</v>
      </c>
      <c r="R19" s="5">
        <v>0</v>
      </c>
      <c r="S19" s="13" t="s">
        <v>93</v>
      </c>
      <c r="T19" s="5" t="s">
        <v>181</v>
      </c>
      <c r="U19" s="5" t="s">
        <v>182</v>
      </c>
      <c r="V19" s="5" t="s">
        <v>183</v>
      </c>
      <c r="W19" s="5">
        <v>522.34</v>
      </c>
      <c r="X19" s="5" t="s">
        <v>97</v>
      </c>
      <c r="Y19" s="5" t="s">
        <v>98</v>
      </c>
      <c r="Z19" s="5" t="s">
        <v>99</v>
      </c>
      <c r="AA19" s="5">
        <v>41.67</v>
      </c>
      <c r="AB19" s="5"/>
      <c r="AC19" s="5"/>
      <c r="AD19" s="5">
        <v>0</v>
      </c>
      <c r="AE19" s="5" t="s">
        <v>180</v>
      </c>
      <c r="AF19" s="5" t="s">
        <v>184</v>
      </c>
      <c r="AG19" s="5" t="s">
        <v>185</v>
      </c>
      <c r="AH19" s="5" t="s">
        <v>185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3" t="s">
        <v>103</v>
      </c>
      <c r="AO19" s="5">
        <v>9</v>
      </c>
      <c r="AP19" s="5">
        <v>2</v>
      </c>
      <c r="AQ19" s="5">
        <v>552.74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3" t="s">
        <v>104</v>
      </c>
      <c r="AX19" s="3" t="s">
        <v>105</v>
      </c>
      <c r="AY19" s="3" t="s">
        <v>105</v>
      </c>
      <c r="AZ19" s="5"/>
      <c r="BA19" s="5">
        <v>0</v>
      </c>
    </row>
    <row r="20" spans="1:53" ht="17.399999999999999" thickBot="1" x14ac:dyDescent="0.35">
      <c r="A20" s="3">
        <v>18</v>
      </c>
      <c r="B20" s="4">
        <v>45379</v>
      </c>
      <c r="C20" s="4">
        <v>45409</v>
      </c>
      <c r="D20" s="10">
        <v>45379</v>
      </c>
      <c r="E20" s="4">
        <v>45409</v>
      </c>
      <c r="F20" s="4">
        <v>45439</v>
      </c>
      <c r="G20" s="3"/>
      <c r="H20" s="3" t="s">
        <v>90</v>
      </c>
      <c r="I20" s="3" t="s">
        <v>90</v>
      </c>
      <c r="J20" s="3" t="s">
        <v>90</v>
      </c>
      <c r="K20" s="3" t="s">
        <v>90</v>
      </c>
      <c r="L20" s="3" t="s">
        <v>90</v>
      </c>
      <c r="M20" s="3" t="s">
        <v>90</v>
      </c>
      <c r="N20" s="3" t="s">
        <v>90</v>
      </c>
      <c r="O20" s="3" t="s">
        <v>90</v>
      </c>
      <c r="P20" s="5" t="s">
        <v>91</v>
      </c>
      <c r="Q20" s="5" t="s">
        <v>92</v>
      </c>
      <c r="R20" s="5">
        <v>0</v>
      </c>
      <c r="S20" s="13" t="s">
        <v>93</v>
      </c>
      <c r="T20" s="5" t="s">
        <v>186</v>
      </c>
      <c r="U20" s="5" t="s">
        <v>187</v>
      </c>
      <c r="V20" s="5" t="s">
        <v>188</v>
      </c>
      <c r="W20" s="5">
        <v>498.4</v>
      </c>
      <c r="X20" s="5" t="s">
        <v>97</v>
      </c>
      <c r="Y20" s="5" t="s">
        <v>98</v>
      </c>
      <c r="Z20" s="5" t="s">
        <v>99</v>
      </c>
      <c r="AA20" s="5">
        <v>41.67</v>
      </c>
      <c r="AB20" s="5"/>
      <c r="AC20" s="5"/>
      <c r="AD20" s="5">
        <v>0</v>
      </c>
      <c r="AE20" s="5" t="s">
        <v>185</v>
      </c>
      <c r="AF20" s="5" t="s">
        <v>189</v>
      </c>
      <c r="AG20" s="5" t="s">
        <v>190</v>
      </c>
      <c r="AH20" s="5" t="s">
        <v>190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3" t="s">
        <v>103</v>
      </c>
      <c r="AO20" s="5">
        <v>9</v>
      </c>
      <c r="AP20" s="5">
        <v>2</v>
      </c>
      <c r="AQ20" s="5">
        <v>527.41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3" t="s">
        <v>104</v>
      </c>
      <c r="AX20" s="3" t="s">
        <v>105</v>
      </c>
      <c r="AY20" s="3" t="s">
        <v>105</v>
      </c>
      <c r="AZ20" s="5"/>
      <c r="BA20" s="5">
        <v>0</v>
      </c>
    </row>
    <row r="21" spans="1:53" ht="17.399999999999999" thickBot="1" x14ac:dyDescent="0.35">
      <c r="A21" s="3">
        <v>19</v>
      </c>
      <c r="B21" s="4">
        <v>45410</v>
      </c>
      <c r="C21" s="4">
        <v>45439</v>
      </c>
      <c r="D21" s="10">
        <v>45410</v>
      </c>
      <c r="E21" s="4">
        <v>45439</v>
      </c>
      <c r="F21" s="4">
        <v>45470</v>
      </c>
      <c r="G21" s="3"/>
      <c r="H21" s="3" t="s">
        <v>90</v>
      </c>
      <c r="I21" s="3" t="s">
        <v>90</v>
      </c>
      <c r="J21" s="3" t="s">
        <v>90</v>
      </c>
      <c r="K21" s="3" t="s">
        <v>90</v>
      </c>
      <c r="L21" s="3" t="s">
        <v>90</v>
      </c>
      <c r="M21" s="3" t="s">
        <v>90</v>
      </c>
      <c r="N21" s="3" t="s">
        <v>90</v>
      </c>
      <c r="O21" s="3" t="s">
        <v>90</v>
      </c>
      <c r="P21" s="5" t="s">
        <v>91</v>
      </c>
      <c r="Q21" s="5" t="s">
        <v>92</v>
      </c>
      <c r="R21" s="5">
        <v>0</v>
      </c>
      <c r="S21" s="13" t="s">
        <v>93</v>
      </c>
      <c r="T21" s="5" t="s">
        <v>191</v>
      </c>
      <c r="U21" s="5" t="s">
        <v>192</v>
      </c>
      <c r="V21" s="5" t="s">
        <v>193</v>
      </c>
      <c r="W21" s="5">
        <v>474.29</v>
      </c>
      <c r="X21" s="5" t="s">
        <v>97</v>
      </c>
      <c r="Y21" s="5" t="s">
        <v>98</v>
      </c>
      <c r="Z21" s="5" t="s">
        <v>99</v>
      </c>
      <c r="AA21" s="5">
        <v>41.67</v>
      </c>
      <c r="AB21" s="5"/>
      <c r="AC21" s="5"/>
      <c r="AD21" s="5">
        <v>0</v>
      </c>
      <c r="AE21" s="5" t="s">
        <v>190</v>
      </c>
      <c r="AF21" s="5" t="s">
        <v>194</v>
      </c>
      <c r="AG21" s="5" t="s">
        <v>195</v>
      </c>
      <c r="AH21" s="5" t="s">
        <v>195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3" t="s">
        <v>103</v>
      </c>
      <c r="AO21" s="5">
        <v>9</v>
      </c>
      <c r="AP21" s="5">
        <v>2</v>
      </c>
      <c r="AQ21" s="5">
        <v>501.89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3" t="s">
        <v>104</v>
      </c>
      <c r="AX21" s="3" t="s">
        <v>105</v>
      </c>
      <c r="AY21" s="3" t="s">
        <v>105</v>
      </c>
      <c r="AZ21" s="5"/>
      <c r="BA21" s="5">
        <v>0</v>
      </c>
    </row>
    <row r="22" spans="1:53" ht="17.399999999999999" thickBot="1" x14ac:dyDescent="0.35">
      <c r="A22" s="3">
        <v>20</v>
      </c>
      <c r="B22" s="4">
        <v>45440</v>
      </c>
      <c r="C22" s="4">
        <v>45470</v>
      </c>
      <c r="D22" s="10">
        <v>45440</v>
      </c>
      <c r="E22" s="4">
        <v>45470</v>
      </c>
      <c r="F22" s="4">
        <v>45500</v>
      </c>
      <c r="G22" s="3"/>
      <c r="H22" s="3" t="s">
        <v>90</v>
      </c>
      <c r="I22" s="3" t="s">
        <v>90</v>
      </c>
      <c r="J22" s="3" t="s">
        <v>90</v>
      </c>
      <c r="K22" s="3" t="s">
        <v>90</v>
      </c>
      <c r="L22" s="3" t="s">
        <v>90</v>
      </c>
      <c r="M22" s="3" t="s">
        <v>90</v>
      </c>
      <c r="N22" s="3" t="s">
        <v>90</v>
      </c>
      <c r="O22" s="3" t="s">
        <v>90</v>
      </c>
      <c r="P22" s="5" t="s">
        <v>91</v>
      </c>
      <c r="Q22" s="5" t="s">
        <v>92</v>
      </c>
      <c r="R22" s="5">
        <v>0</v>
      </c>
      <c r="S22" s="13" t="s">
        <v>93</v>
      </c>
      <c r="T22" s="5" t="s">
        <v>196</v>
      </c>
      <c r="U22" s="5" t="s">
        <v>197</v>
      </c>
      <c r="V22" s="5" t="s">
        <v>198</v>
      </c>
      <c r="W22" s="5">
        <v>449.99</v>
      </c>
      <c r="X22" s="5" t="s">
        <v>97</v>
      </c>
      <c r="Y22" s="5" t="s">
        <v>98</v>
      </c>
      <c r="Z22" s="5" t="s">
        <v>99</v>
      </c>
      <c r="AA22" s="5">
        <v>41.67</v>
      </c>
      <c r="AB22" s="5"/>
      <c r="AC22" s="5"/>
      <c r="AD22" s="5">
        <v>0</v>
      </c>
      <c r="AE22" s="5" t="s">
        <v>195</v>
      </c>
      <c r="AF22" s="5" t="s">
        <v>199</v>
      </c>
      <c r="AG22" s="5" t="s">
        <v>200</v>
      </c>
      <c r="AH22" s="5" t="s">
        <v>200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3" t="s">
        <v>103</v>
      </c>
      <c r="AO22" s="5">
        <v>9</v>
      </c>
      <c r="AP22" s="5">
        <v>2</v>
      </c>
      <c r="AQ22" s="5">
        <v>476.18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3" t="s">
        <v>104</v>
      </c>
      <c r="AX22" s="3" t="s">
        <v>105</v>
      </c>
      <c r="AY22" s="3" t="s">
        <v>105</v>
      </c>
      <c r="AZ22" s="5"/>
      <c r="BA22" s="5">
        <v>0</v>
      </c>
    </row>
    <row r="23" spans="1:53" ht="17.399999999999999" thickBot="1" x14ac:dyDescent="0.35">
      <c r="A23" s="3">
        <v>21</v>
      </c>
      <c r="B23" s="4">
        <v>45471</v>
      </c>
      <c r="C23" s="4">
        <v>45500</v>
      </c>
      <c r="D23" s="10">
        <v>45471</v>
      </c>
      <c r="E23" s="4">
        <v>45500</v>
      </c>
      <c r="F23" s="4">
        <v>45531</v>
      </c>
      <c r="G23" s="3"/>
      <c r="H23" s="3" t="s">
        <v>90</v>
      </c>
      <c r="I23" s="3" t="s">
        <v>90</v>
      </c>
      <c r="J23" s="3" t="s">
        <v>90</v>
      </c>
      <c r="K23" s="3" t="s">
        <v>90</v>
      </c>
      <c r="L23" s="3" t="s">
        <v>90</v>
      </c>
      <c r="M23" s="3" t="s">
        <v>90</v>
      </c>
      <c r="N23" s="3" t="s">
        <v>90</v>
      </c>
      <c r="O23" s="3" t="s">
        <v>90</v>
      </c>
      <c r="P23" s="5" t="s">
        <v>91</v>
      </c>
      <c r="Q23" s="5" t="s">
        <v>92</v>
      </c>
      <c r="R23" s="5">
        <v>0</v>
      </c>
      <c r="S23" s="13" t="s">
        <v>93</v>
      </c>
      <c r="T23" s="5" t="s">
        <v>201</v>
      </c>
      <c r="U23" s="5" t="s">
        <v>202</v>
      </c>
      <c r="V23" s="5" t="s">
        <v>203</v>
      </c>
      <c r="W23" s="5">
        <v>425.5</v>
      </c>
      <c r="X23" s="5" t="s">
        <v>97</v>
      </c>
      <c r="Y23" s="5" t="s">
        <v>98</v>
      </c>
      <c r="Z23" s="5" t="s">
        <v>99</v>
      </c>
      <c r="AA23" s="5">
        <v>41.67</v>
      </c>
      <c r="AB23" s="5"/>
      <c r="AC23" s="5"/>
      <c r="AD23" s="5">
        <v>0</v>
      </c>
      <c r="AE23" s="5" t="s">
        <v>200</v>
      </c>
      <c r="AF23" s="5" t="s">
        <v>204</v>
      </c>
      <c r="AG23" s="5" t="s">
        <v>205</v>
      </c>
      <c r="AH23" s="5" t="s">
        <v>205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3" t="s">
        <v>103</v>
      </c>
      <c r="AO23" s="5">
        <v>9</v>
      </c>
      <c r="AP23" s="5">
        <v>2</v>
      </c>
      <c r="AQ23" s="5">
        <v>450.27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3" t="s">
        <v>104</v>
      </c>
      <c r="AX23" s="3" t="s">
        <v>105</v>
      </c>
      <c r="AY23" s="3" t="s">
        <v>105</v>
      </c>
      <c r="AZ23" s="5"/>
      <c r="BA23" s="5">
        <v>0</v>
      </c>
    </row>
    <row r="24" spans="1:53" ht="17.399999999999999" thickBot="1" x14ac:dyDescent="0.35">
      <c r="A24" s="3">
        <v>22</v>
      </c>
      <c r="B24" s="4">
        <v>45501</v>
      </c>
      <c r="C24" s="4">
        <v>45531</v>
      </c>
      <c r="D24" s="10">
        <v>45501</v>
      </c>
      <c r="E24" s="4">
        <v>45531</v>
      </c>
      <c r="F24" s="4">
        <v>45561</v>
      </c>
      <c r="G24" s="3"/>
      <c r="H24" s="3" t="s">
        <v>90</v>
      </c>
      <c r="I24" s="3" t="s">
        <v>90</v>
      </c>
      <c r="J24" s="3" t="s">
        <v>90</v>
      </c>
      <c r="K24" s="3" t="s">
        <v>90</v>
      </c>
      <c r="L24" s="3" t="s">
        <v>90</v>
      </c>
      <c r="M24" s="3" t="s">
        <v>90</v>
      </c>
      <c r="N24" s="3" t="s">
        <v>90</v>
      </c>
      <c r="O24" s="3" t="s">
        <v>90</v>
      </c>
      <c r="P24" s="5" t="s">
        <v>91</v>
      </c>
      <c r="Q24" s="5" t="s">
        <v>92</v>
      </c>
      <c r="R24" s="5">
        <v>0</v>
      </c>
      <c r="S24" s="13" t="s">
        <v>93</v>
      </c>
      <c r="T24" s="5" t="s">
        <v>206</v>
      </c>
      <c r="U24" s="5" t="s">
        <v>207</v>
      </c>
      <c r="V24" s="5" t="s">
        <v>208</v>
      </c>
      <c r="W24" s="5">
        <v>400.84</v>
      </c>
      <c r="X24" s="5" t="s">
        <v>97</v>
      </c>
      <c r="Y24" s="5" t="s">
        <v>98</v>
      </c>
      <c r="Z24" s="5" t="s">
        <v>99</v>
      </c>
      <c r="AA24" s="5">
        <v>41.67</v>
      </c>
      <c r="AB24" s="5"/>
      <c r="AC24" s="5"/>
      <c r="AD24" s="5">
        <v>0</v>
      </c>
      <c r="AE24" s="5" t="s">
        <v>205</v>
      </c>
      <c r="AF24" s="5" t="s">
        <v>209</v>
      </c>
      <c r="AG24" s="5" t="s">
        <v>210</v>
      </c>
      <c r="AH24" s="5" t="s">
        <v>210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3" t="s">
        <v>103</v>
      </c>
      <c r="AO24" s="5">
        <v>9</v>
      </c>
      <c r="AP24" s="5">
        <v>2</v>
      </c>
      <c r="AQ24" s="5">
        <v>424.17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3" t="s">
        <v>104</v>
      </c>
      <c r="AX24" s="3" t="s">
        <v>105</v>
      </c>
      <c r="AY24" s="3" t="s">
        <v>105</v>
      </c>
      <c r="AZ24" s="5"/>
      <c r="BA24" s="5">
        <v>0</v>
      </c>
    </row>
    <row r="25" spans="1:53" ht="17.399999999999999" thickBot="1" x14ac:dyDescent="0.35">
      <c r="A25" s="3">
        <v>23</v>
      </c>
      <c r="B25" s="4">
        <v>45532</v>
      </c>
      <c r="C25" s="4">
        <v>45562</v>
      </c>
      <c r="D25" s="10">
        <v>45532</v>
      </c>
      <c r="E25" s="4">
        <v>45562</v>
      </c>
      <c r="F25" s="4">
        <v>45592</v>
      </c>
      <c r="G25" s="3"/>
      <c r="H25" s="3" t="s">
        <v>90</v>
      </c>
      <c r="I25" s="3" t="s">
        <v>90</v>
      </c>
      <c r="J25" s="3" t="s">
        <v>90</v>
      </c>
      <c r="K25" s="3" t="s">
        <v>90</v>
      </c>
      <c r="L25" s="3" t="s">
        <v>90</v>
      </c>
      <c r="M25" s="3" t="s">
        <v>90</v>
      </c>
      <c r="N25" s="3" t="s">
        <v>90</v>
      </c>
      <c r="O25" s="3" t="s">
        <v>90</v>
      </c>
      <c r="P25" s="5" t="s">
        <v>91</v>
      </c>
      <c r="Q25" s="5" t="s">
        <v>92</v>
      </c>
      <c r="R25" s="5">
        <v>0</v>
      </c>
      <c r="S25" s="13" t="s">
        <v>93</v>
      </c>
      <c r="T25" s="5" t="s">
        <v>211</v>
      </c>
      <c r="U25" s="5" t="s">
        <v>212</v>
      </c>
      <c r="V25" s="5" t="s">
        <v>213</v>
      </c>
      <c r="W25" s="5">
        <v>375.99</v>
      </c>
      <c r="X25" s="5" t="s">
        <v>97</v>
      </c>
      <c r="Y25" s="5" t="s">
        <v>98</v>
      </c>
      <c r="Z25" s="5" t="s">
        <v>99</v>
      </c>
      <c r="AA25" s="5">
        <v>41.67</v>
      </c>
      <c r="AB25" s="5"/>
      <c r="AC25" s="5"/>
      <c r="AD25" s="5">
        <v>0</v>
      </c>
      <c r="AE25" s="5" t="s">
        <v>210</v>
      </c>
      <c r="AF25" s="5" t="s">
        <v>214</v>
      </c>
      <c r="AG25" s="5" t="s">
        <v>215</v>
      </c>
      <c r="AH25" s="5" t="s">
        <v>215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3" t="s">
        <v>103</v>
      </c>
      <c r="AO25" s="5">
        <v>9</v>
      </c>
      <c r="AP25" s="5">
        <v>2</v>
      </c>
      <c r="AQ25" s="5">
        <v>397.87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3" t="s">
        <v>104</v>
      </c>
      <c r="AX25" s="3" t="s">
        <v>105</v>
      </c>
      <c r="AY25" s="3" t="s">
        <v>105</v>
      </c>
      <c r="AZ25" s="5"/>
      <c r="BA25" s="5">
        <v>0</v>
      </c>
    </row>
    <row r="26" spans="1:53" ht="17.399999999999999" thickBot="1" x14ac:dyDescent="0.35">
      <c r="A26" s="3">
        <v>24</v>
      </c>
      <c r="B26" s="4">
        <v>45563</v>
      </c>
      <c r="C26" s="4">
        <v>45592</v>
      </c>
      <c r="D26" s="10">
        <v>45563</v>
      </c>
      <c r="E26" s="4">
        <v>45592</v>
      </c>
      <c r="F26" s="4">
        <v>45623</v>
      </c>
      <c r="G26" s="3"/>
      <c r="H26" s="3" t="s">
        <v>90</v>
      </c>
      <c r="I26" s="3" t="s">
        <v>90</v>
      </c>
      <c r="J26" s="3" t="s">
        <v>90</v>
      </c>
      <c r="K26" s="3" t="s">
        <v>90</v>
      </c>
      <c r="L26" s="3" t="s">
        <v>90</v>
      </c>
      <c r="M26" s="3" t="s">
        <v>90</v>
      </c>
      <c r="N26" s="3" t="s">
        <v>90</v>
      </c>
      <c r="O26" s="3" t="s">
        <v>90</v>
      </c>
      <c r="P26" s="5" t="s">
        <v>91</v>
      </c>
      <c r="Q26" s="5" t="s">
        <v>92</v>
      </c>
      <c r="R26" s="5">
        <v>0</v>
      </c>
      <c r="S26" s="13" t="s">
        <v>93</v>
      </c>
      <c r="T26" s="5" t="s">
        <v>216</v>
      </c>
      <c r="U26" s="5" t="s">
        <v>217</v>
      </c>
      <c r="V26" s="5" t="s">
        <v>218</v>
      </c>
      <c r="W26" s="5">
        <v>350.95</v>
      </c>
      <c r="X26" s="5" t="s">
        <v>97</v>
      </c>
      <c r="Y26" s="5" t="s">
        <v>98</v>
      </c>
      <c r="Z26" s="5" t="s">
        <v>99</v>
      </c>
      <c r="AA26" s="5">
        <v>41.67</v>
      </c>
      <c r="AB26" s="5"/>
      <c r="AC26" s="5"/>
      <c r="AD26" s="5">
        <v>0</v>
      </c>
      <c r="AE26" s="5" t="s">
        <v>215</v>
      </c>
      <c r="AF26" s="5" t="s">
        <v>219</v>
      </c>
      <c r="AG26" s="5" t="s">
        <v>220</v>
      </c>
      <c r="AH26" s="5" t="s">
        <v>220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3" t="s">
        <v>103</v>
      </c>
      <c r="AO26" s="5">
        <v>9</v>
      </c>
      <c r="AP26" s="5">
        <v>2</v>
      </c>
      <c r="AQ26" s="5">
        <v>371.38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3" t="s">
        <v>104</v>
      </c>
      <c r="AX26" s="3" t="s">
        <v>105</v>
      </c>
      <c r="AY26" s="3" t="s">
        <v>105</v>
      </c>
      <c r="AZ26" s="5"/>
      <c r="BA26" s="5">
        <v>0</v>
      </c>
    </row>
    <row r="27" spans="1:53" ht="17.399999999999999" thickBot="1" x14ac:dyDescent="0.35">
      <c r="A27" s="3">
        <v>25</v>
      </c>
      <c r="B27" s="4">
        <v>45593</v>
      </c>
      <c r="C27" s="4">
        <v>45623</v>
      </c>
      <c r="D27" s="10">
        <v>45593</v>
      </c>
      <c r="E27" s="4">
        <v>45623</v>
      </c>
      <c r="F27" s="4">
        <v>45653</v>
      </c>
      <c r="G27" s="3"/>
      <c r="H27" s="3" t="s">
        <v>90</v>
      </c>
      <c r="I27" s="3" t="s">
        <v>90</v>
      </c>
      <c r="J27" s="3" t="s">
        <v>90</v>
      </c>
      <c r="K27" s="3" t="s">
        <v>90</v>
      </c>
      <c r="L27" s="3" t="s">
        <v>90</v>
      </c>
      <c r="M27" s="3" t="s">
        <v>90</v>
      </c>
      <c r="N27" s="3" t="s">
        <v>90</v>
      </c>
      <c r="O27" s="3" t="s">
        <v>90</v>
      </c>
      <c r="P27" s="5" t="s">
        <v>91</v>
      </c>
      <c r="Q27" s="5" t="s">
        <v>92</v>
      </c>
      <c r="R27" s="5">
        <v>0</v>
      </c>
      <c r="S27" s="13" t="s">
        <v>93</v>
      </c>
      <c r="T27" s="5" t="s">
        <v>221</v>
      </c>
      <c r="U27" s="5" t="s">
        <v>222</v>
      </c>
      <c r="V27" s="5" t="s">
        <v>223</v>
      </c>
      <c r="W27" s="5">
        <v>325.73</v>
      </c>
      <c r="X27" s="5" t="s">
        <v>97</v>
      </c>
      <c r="Y27" s="5" t="s">
        <v>98</v>
      </c>
      <c r="Z27" s="5" t="s">
        <v>99</v>
      </c>
      <c r="AA27" s="5">
        <v>41.67</v>
      </c>
      <c r="AB27" s="5"/>
      <c r="AC27" s="5"/>
      <c r="AD27" s="5">
        <v>0</v>
      </c>
      <c r="AE27" s="5" t="s">
        <v>220</v>
      </c>
      <c r="AF27" s="5" t="s">
        <v>224</v>
      </c>
      <c r="AG27" s="5" t="s">
        <v>225</v>
      </c>
      <c r="AH27" s="5" t="s">
        <v>225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3" t="s">
        <v>103</v>
      </c>
      <c r="AO27" s="5">
        <v>9</v>
      </c>
      <c r="AP27" s="5">
        <v>2</v>
      </c>
      <c r="AQ27" s="5">
        <v>344.69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3" t="s">
        <v>104</v>
      </c>
      <c r="AX27" s="3" t="s">
        <v>105</v>
      </c>
      <c r="AY27" s="3" t="s">
        <v>105</v>
      </c>
      <c r="AZ27" s="5"/>
      <c r="BA27" s="5">
        <v>0</v>
      </c>
    </row>
    <row r="28" spans="1:53" ht="17.399999999999999" thickBot="1" x14ac:dyDescent="0.35">
      <c r="A28" s="3">
        <v>26</v>
      </c>
      <c r="B28" s="4">
        <v>45624</v>
      </c>
      <c r="C28" s="4">
        <v>45653</v>
      </c>
      <c r="D28" s="10">
        <v>45624</v>
      </c>
      <c r="E28" s="4">
        <v>45653</v>
      </c>
      <c r="F28" s="4">
        <v>45684</v>
      </c>
      <c r="G28" s="3"/>
      <c r="H28" s="3" t="s">
        <v>90</v>
      </c>
      <c r="I28" s="3" t="s">
        <v>90</v>
      </c>
      <c r="J28" s="3" t="s">
        <v>90</v>
      </c>
      <c r="K28" s="3" t="s">
        <v>90</v>
      </c>
      <c r="L28" s="3" t="s">
        <v>90</v>
      </c>
      <c r="M28" s="3" t="s">
        <v>90</v>
      </c>
      <c r="N28" s="3" t="s">
        <v>90</v>
      </c>
      <c r="O28" s="3" t="s">
        <v>90</v>
      </c>
      <c r="P28" s="5" t="s">
        <v>91</v>
      </c>
      <c r="Q28" s="5" t="s">
        <v>92</v>
      </c>
      <c r="R28" s="5">
        <v>0</v>
      </c>
      <c r="S28" s="13" t="s">
        <v>93</v>
      </c>
      <c r="T28" s="5" t="s">
        <v>226</v>
      </c>
      <c r="U28" s="5" t="s">
        <v>227</v>
      </c>
      <c r="V28" s="5" t="s">
        <v>228</v>
      </c>
      <c r="W28" s="5">
        <v>300.32</v>
      </c>
      <c r="X28" s="5" t="s">
        <v>97</v>
      </c>
      <c r="Y28" s="5" t="s">
        <v>98</v>
      </c>
      <c r="Z28" s="5" t="s">
        <v>99</v>
      </c>
      <c r="AA28" s="5">
        <v>41.67</v>
      </c>
      <c r="AB28" s="5"/>
      <c r="AC28" s="5"/>
      <c r="AD28" s="5">
        <v>0</v>
      </c>
      <c r="AE28" s="5" t="s">
        <v>225</v>
      </c>
      <c r="AF28" s="5" t="s">
        <v>229</v>
      </c>
      <c r="AG28" s="5" t="s">
        <v>230</v>
      </c>
      <c r="AH28" s="5" t="s">
        <v>230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3" t="s">
        <v>103</v>
      </c>
      <c r="AO28" s="5">
        <v>9</v>
      </c>
      <c r="AP28" s="5">
        <v>2</v>
      </c>
      <c r="AQ28" s="5">
        <v>317.8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3" t="s">
        <v>104</v>
      </c>
      <c r="AX28" s="3" t="s">
        <v>105</v>
      </c>
      <c r="AY28" s="3" t="s">
        <v>105</v>
      </c>
      <c r="AZ28" s="5"/>
      <c r="BA28" s="5">
        <v>0</v>
      </c>
    </row>
    <row r="29" spans="1:53" ht="17.399999999999999" thickBot="1" x14ac:dyDescent="0.35">
      <c r="A29" s="3">
        <v>27</v>
      </c>
      <c r="B29" s="4">
        <v>45654</v>
      </c>
      <c r="C29" s="4">
        <v>45684</v>
      </c>
      <c r="D29" s="10">
        <v>45654</v>
      </c>
      <c r="E29" s="4">
        <v>45684</v>
      </c>
      <c r="F29" s="4">
        <v>45714</v>
      </c>
      <c r="G29" s="3"/>
      <c r="H29" s="3" t="s">
        <v>90</v>
      </c>
      <c r="I29" s="3" t="s">
        <v>90</v>
      </c>
      <c r="J29" s="3" t="s">
        <v>90</v>
      </c>
      <c r="K29" s="3" t="s">
        <v>90</v>
      </c>
      <c r="L29" s="3" t="s">
        <v>90</v>
      </c>
      <c r="M29" s="3" t="s">
        <v>90</v>
      </c>
      <c r="N29" s="3" t="s">
        <v>90</v>
      </c>
      <c r="O29" s="3" t="s">
        <v>90</v>
      </c>
      <c r="P29" s="5" t="s">
        <v>91</v>
      </c>
      <c r="Q29" s="5" t="s">
        <v>92</v>
      </c>
      <c r="R29" s="5">
        <v>0</v>
      </c>
      <c r="S29" s="13" t="s">
        <v>93</v>
      </c>
      <c r="T29" s="5" t="s">
        <v>231</v>
      </c>
      <c r="U29" s="5" t="s">
        <v>232</v>
      </c>
      <c r="V29" s="5" t="s">
        <v>233</v>
      </c>
      <c r="W29" s="5">
        <v>274.70999999999998</v>
      </c>
      <c r="X29" s="5" t="s">
        <v>97</v>
      </c>
      <c r="Y29" s="5" t="s">
        <v>98</v>
      </c>
      <c r="Z29" s="5" t="s">
        <v>99</v>
      </c>
      <c r="AA29" s="5">
        <v>41.67</v>
      </c>
      <c r="AB29" s="5"/>
      <c r="AC29" s="5"/>
      <c r="AD29" s="5">
        <v>0</v>
      </c>
      <c r="AE29" s="5" t="s">
        <v>230</v>
      </c>
      <c r="AF29" s="5" t="s">
        <v>234</v>
      </c>
      <c r="AG29" s="5" t="s">
        <v>235</v>
      </c>
      <c r="AH29" s="5" t="s">
        <v>235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3" t="s">
        <v>103</v>
      </c>
      <c r="AO29" s="5">
        <v>9</v>
      </c>
      <c r="AP29" s="5">
        <v>2</v>
      </c>
      <c r="AQ29" s="5">
        <v>290.7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3" t="s">
        <v>104</v>
      </c>
      <c r="AX29" s="3" t="s">
        <v>105</v>
      </c>
      <c r="AY29" s="3" t="s">
        <v>105</v>
      </c>
      <c r="AZ29" s="5"/>
      <c r="BA29" s="5">
        <v>0</v>
      </c>
    </row>
    <row r="30" spans="1:53" ht="17.399999999999999" thickBot="1" x14ac:dyDescent="0.35">
      <c r="A30" s="3">
        <v>28</v>
      </c>
      <c r="B30" s="4">
        <v>45685</v>
      </c>
      <c r="C30" s="4">
        <v>45715</v>
      </c>
      <c r="D30" s="10">
        <v>45685</v>
      </c>
      <c r="E30" s="4">
        <v>45715</v>
      </c>
      <c r="F30" s="4">
        <v>45745</v>
      </c>
      <c r="G30" s="3"/>
      <c r="H30" s="3" t="s">
        <v>90</v>
      </c>
      <c r="I30" s="3" t="s">
        <v>90</v>
      </c>
      <c r="J30" s="3" t="s">
        <v>90</v>
      </c>
      <c r="K30" s="3" t="s">
        <v>90</v>
      </c>
      <c r="L30" s="3" t="s">
        <v>90</v>
      </c>
      <c r="M30" s="3" t="s">
        <v>90</v>
      </c>
      <c r="N30" s="3" t="s">
        <v>90</v>
      </c>
      <c r="O30" s="3" t="s">
        <v>90</v>
      </c>
      <c r="P30" s="5" t="s">
        <v>91</v>
      </c>
      <c r="Q30" s="5" t="s">
        <v>92</v>
      </c>
      <c r="R30" s="5">
        <v>0</v>
      </c>
      <c r="S30" s="13" t="s">
        <v>93</v>
      </c>
      <c r="T30" s="5" t="s">
        <v>236</v>
      </c>
      <c r="U30" s="5" t="s">
        <v>237</v>
      </c>
      <c r="V30" s="5" t="s">
        <v>238</v>
      </c>
      <c r="W30" s="5">
        <v>248.92</v>
      </c>
      <c r="X30" s="5" t="s">
        <v>97</v>
      </c>
      <c r="Y30" s="5" t="s">
        <v>98</v>
      </c>
      <c r="Z30" s="5" t="s">
        <v>99</v>
      </c>
      <c r="AA30" s="5">
        <v>41.67</v>
      </c>
      <c r="AB30" s="5"/>
      <c r="AC30" s="5"/>
      <c r="AD30" s="5">
        <v>0</v>
      </c>
      <c r="AE30" s="5" t="s">
        <v>235</v>
      </c>
      <c r="AF30" s="5" t="s">
        <v>239</v>
      </c>
      <c r="AG30" s="5" t="s">
        <v>240</v>
      </c>
      <c r="AH30" s="5" t="s">
        <v>240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3" t="s">
        <v>103</v>
      </c>
      <c r="AO30" s="5">
        <v>9</v>
      </c>
      <c r="AP30" s="5">
        <v>2</v>
      </c>
      <c r="AQ30" s="5">
        <v>263.39999999999998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3" t="s">
        <v>104</v>
      </c>
      <c r="AX30" s="3" t="s">
        <v>105</v>
      </c>
      <c r="AY30" s="3" t="s">
        <v>105</v>
      </c>
      <c r="AZ30" s="5"/>
      <c r="BA30" s="5">
        <v>0</v>
      </c>
    </row>
    <row r="31" spans="1:53" ht="17.399999999999999" thickBot="1" x14ac:dyDescent="0.35">
      <c r="A31" s="3">
        <v>29</v>
      </c>
      <c r="B31" s="4">
        <v>45716</v>
      </c>
      <c r="C31" s="4">
        <v>45743</v>
      </c>
      <c r="D31" s="10">
        <v>45716</v>
      </c>
      <c r="E31" s="4">
        <v>45743</v>
      </c>
      <c r="F31" s="4">
        <v>45776</v>
      </c>
      <c r="G31" s="3"/>
      <c r="H31" s="3" t="s">
        <v>90</v>
      </c>
      <c r="I31" s="3" t="s">
        <v>90</v>
      </c>
      <c r="J31" s="3" t="s">
        <v>90</v>
      </c>
      <c r="K31" s="3" t="s">
        <v>90</v>
      </c>
      <c r="L31" s="3" t="s">
        <v>90</v>
      </c>
      <c r="M31" s="3" t="s">
        <v>90</v>
      </c>
      <c r="N31" s="3" t="s">
        <v>90</v>
      </c>
      <c r="O31" s="3" t="s">
        <v>90</v>
      </c>
      <c r="P31" s="5" t="s">
        <v>91</v>
      </c>
      <c r="Q31" s="5" t="s">
        <v>92</v>
      </c>
      <c r="R31" s="5">
        <v>0</v>
      </c>
      <c r="S31" s="13" t="s">
        <v>93</v>
      </c>
      <c r="T31" s="5" t="s">
        <v>241</v>
      </c>
      <c r="U31" s="5" t="s">
        <v>242</v>
      </c>
      <c r="V31" s="5" t="s">
        <v>243</v>
      </c>
      <c r="W31" s="5">
        <v>222.93</v>
      </c>
      <c r="X31" s="5" t="s">
        <v>97</v>
      </c>
      <c r="Y31" s="5" t="s">
        <v>98</v>
      </c>
      <c r="Z31" s="5" t="s">
        <v>99</v>
      </c>
      <c r="AA31" s="5">
        <v>41.67</v>
      </c>
      <c r="AB31" s="5"/>
      <c r="AC31" s="5"/>
      <c r="AD31" s="5">
        <v>0</v>
      </c>
      <c r="AE31" s="5" t="s">
        <v>240</v>
      </c>
      <c r="AF31" s="5" t="s">
        <v>244</v>
      </c>
      <c r="AG31" s="5" t="s">
        <v>245</v>
      </c>
      <c r="AH31" s="5" t="s">
        <v>245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3" t="s">
        <v>103</v>
      </c>
      <c r="AO31" s="5">
        <v>9</v>
      </c>
      <c r="AP31" s="5">
        <v>2</v>
      </c>
      <c r="AQ31" s="5">
        <v>235.9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3" t="s">
        <v>104</v>
      </c>
      <c r="AX31" s="3" t="s">
        <v>105</v>
      </c>
      <c r="AY31" s="3" t="s">
        <v>105</v>
      </c>
      <c r="AZ31" s="5"/>
      <c r="BA31" s="5">
        <v>0</v>
      </c>
    </row>
    <row r="32" spans="1:53" ht="17.399999999999999" thickBot="1" x14ac:dyDescent="0.35">
      <c r="A32" s="3">
        <v>30</v>
      </c>
      <c r="B32" s="4">
        <v>45744</v>
      </c>
      <c r="C32" s="4">
        <v>45774</v>
      </c>
      <c r="D32" s="10">
        <v>45744</v>
      </c>
      <c r="E32" s="4">
        <v>45774</v>
      </c>
      <c r="F32" s="4">
        <v>45804</v>
      </c>
      <c r="G32" s="3"/>
      <c r="H32" s="3" t="s">
        <v>90</v>
      </c>
      <c r="I32" s="3" t="s">
        <v>90</v>
      </c>
      <c r="J32" s="3" t="s">
        <v>90</v>
      </c>
      <c r="K32" s="3" t="s">
        <v>90</v>
      </c>
      <c r="L32" s="3" t="s">
        <v>90</v>
      </c>
      <c r="M32" s="3" t="s">
        <v>90</v>
      </c>
      <c r="N32" s="3" t="s">
        <v>90</v>
      </c>
      <c r="O32" s="3" t="s">
        <v>90</v>
      </c>
      <c r="P32" s="5" t="s">
        <v>91</v>
      </c>
      <c r="Q32" s="5" t="s">
        <v>92</v>
      </c>
      <c r="R32" s="5">
        <v>0</v>
      </c>
      <c r="S32" s="13" t="s">
        <v>93</v>
      </c>
      <c r="T32" s="5" t="s">
        <v>246</v>
      </c>
      <c r="U32" s="5">
        <v>936.88</v>
      </c>
      <c r="V32" s="5" t="s">
        <v>247</v>
      </c>
      <c r="W32" s="5">
        <v>196.74</v>
      </c>
      <c r="X32" s="5" t="s">
        <v>97</v>
      </c>
      <c r="Y32" s="5" t="s">
        <v>98</v>
      </c>
      <c r="Z32" s="5" t="s">
        <v>99</v>
      </c>
      <c r="AA32" s="5">
        <v>41.67</v>
      </c>
      <c r="AB32" s="5"/>
      <c r="AC32" s="5"/>
      <c r="AD32" s="5">
        <v>0</v>
      </c>
      <c r="AE32" s="5" t="s">
        <v>245</v>
      </c>
      <c r="AF32" s="5" t="s">
        <v>248</v>
      </c>
      <c r="AG32" s="5" t="s">
        <v>249</v>
      </c>
      <c r="AH32" s="5" t="s">
        <v>249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3" t="s">
        <v>103</v>
      </c>
      <c r="AO32" s="5">
        <v>9</v>
      </c>
      <c r="AP32" s="5">
        <v>2</v>
      </c>
      <c r="AQ32" s="5">
        <v>208.2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3" t="s">
        <v>104</v>
      </c>
      <c r="AX32" s="3" t="s">
        <v>105</v>
      </c>
      <c r="AY32" s="3" t="s">
        <v>105</v>
      </c>
      <c r="AZ32" s="5"/>
      <c r="BA32" s="5">
        <v>0</v>
      </c>
    </row>
    <row r="33" spans="1:53" ht="17.399999999999999" thickBot="1" x14ac:dyDescent="0.35">
      <c r="A33" s="3">
        <v>31</v>
      </c>
      <c r="B33" s="4">
        <v>45775</v>
      </c>
      <c r="C33" s="4">
        <v>45804</v>
      </c>
      <c r="D33" s="10">
        <v>45775</v>
      </c>
      <c r="E33" s="4">
        <v>45804</v>
      </c>
      <c r="F33" s="4">
        <v>45835</v>
      </c>
      <c r="G33" s="3"/>
      <c r="H33" s="3" t="s">
        <v>90</v>
      </c>
      <c r="I33" s="3" t="s">
        <v>90</v>
      </c>
      <c r="J33" s="3" t="s">
        <v>90</v>
      </c>
      <c r="K33" s="3" t="s">
        <v>90</v>
      </c>
      <c r="L33" s="3" t="s">
        <v>90</v>
      </c>
      <c r="M33" s="3" t="s">
        <v>90</v>
      </c>
      <c r="N33" s="3" t="s">
        <v>90</v>
      </c>
      <c r="O33" s="3" t="s">
        <v>90</v>
      </c>
      <c r="P33" s="5" t="s">
        <v>91</v>
      </c>
      <c r="Q33" s="5" t="s">
        <v>92</v>
      </c>
      <c r="R33" s="5">
        <v>0</v>
      </c>
      <c r="S33" s="13" t="s">
        <v>93</v>
      </c>
      <c r="T33" s="5" t="s">
        <v>250</v>
      </c>
      <c r="U33" s="5">
        <v>811.26</v>
      </c>
      <c r="V33" s="5" t="s">
        <v>251</v>
      </c>
      <c r="W33" s="5">
        <v>170.36</v>
      </c>
      <c r="X33" s="5" t="s">
        <v>97</v>
      </c>
      <c r="Y33" s="5" t="s">
        <v>98</v>
      </c>
      <c r="Z33" s="5" t="s">
        <v>99</v>
      </c>
      <c r="AA33" s="5">
        <v>41.67</v>
      </c>
      <c r="AB33" s="5"/>
      <c r="AC33" s="5"/>
      <c r="AD33" s="5">
        <v>0</v>
      </c>
      <c r="AE33" s="5" t="s">
        <v>249</v>
      </c>
      <c r="AF33" s="5" t="s">
        <v>252</v>
      </c>
      <c r="AG33" s="5" t="s">
        <v>253</v>
      </c>
      <c r="AH33" s="5" t="s">
        <v>253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3" t="s">
        <v>103</v>
      </c>
      <c r="AO33" s="5">
        <v>9</v>
      </c>
      <c r="AP33" s="5">
        <v>2</v>
      </c>
      <c r="AQ33" s="5">
        <v>180.28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3" t="s">
        <v>104</v>
      </c>
      <c r="AX33" s="3" t="s">
        <v>105</v>
      </c>
      <c r="AY33" s="3" t="s">
        <v>105</v>
      </c>
      <c r="AZ33" s="5"/>
      <c r="BA33" s="5">
        <v>0</v>
      </c>
    </row>
    <row r="34" spans="1:53" ht="17.399999999999999" thickBot="1" x14ac:dyDescent="0.35">
      <c r="A34" s="3">
        <v>32</v>
      </c>
      <c r="B34" s="4">
        <v>45805</v>
      </c>
      <c r="C34" s="4">
        <v>45835</v>
      </c>
      <c r="D34" s="10">
        <v>45805</v>
      </c>
      <c r="E34" s="4">
        <v>45835</v>
      </c>
      <c r="F34" s="4">
        <v>45865</v>
      </c>
      <c r="G34" s="3"/>
      <c r="H34" s="3" t="s">
        <v>90</v>
      </c>
      <c r="I34" s="3" t="s">
        <v>90</v>
      </c>
      <c r="J34" s="3" t="s">
        <v>90</v>
      </c>
      <c r="K34" s="3" t="s">
        <v>90</v>
      </c>
      <c r="L34" s="3" t="s">
        <v>90</v>
      </c>
      <c r="M34" s="3" t="s">
        <v>90</v>
      </c>
      <c r="N34" s="3" t="s">
        <v>90</v>
      </c>
      <c r="O34" s="3" t="s">
        <v>90</v>
      </c>
      <c r="P34" s="5" t="s">
        <v>91</v>
      </c>
      <c r="Q34" s="5" t="s">
        <v>92</v>
      </c>
      <c r="R34" s="5">
        <v>0</v>
      </c>
      <c r="S34" s="13" t="s">
        <v>93</v>
      </c>
      <c r="T34" s="5" t="s">
        <v>254</v>
      </c>
      <c r="U34" s="5">
        <v>684.7</v>
      </c>
      <c r="V34" s="5" t="s">
        <v>255</v>
      </c>
      <c r="W34" s="5">
        <v>143.79</v>
      </c>
      <c r="X34" s="5" t="s">
        <v>97</v>
      </c>
      <c r="Y34" s="5" t="s">
        <v>98</v>
      </c>
      <c r="Z34" s="5" t="s">
        <v>99</v>
      </c>
      <c r="AA34" s="5">
        <v>41.67</v>
      </c>
      <c r="AB34" s="5"/>
      <c r="AC34" s="5"/>
      <c r="AD34" s="5">
        <v>0</v>
      </c>
      <c r="AE34" s="5" t="s">
        <v>253</v>
      </c>
      <c r="AF34" s="5" t="s">
        <v>256</v>
      </c>
      <c r="AG34" s="5" t="s">
        <v>257</v>
      </c>
      <c r="AH34" s="5" t="s">
        <v>257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3" t="s">
        <v>103</v>
      </c>
      <c r="AO34" s="5">
        <v>9</v>
      </c>
      <c r="AP34" s="5">
        <v>2</v>
      </c>
      <c r="AQ34" s="5">
        <v>152.16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3" t="s">
        <v>104</v>
      </c>
      <c r="AX34" s="3" t="s">
        <v>105</v>
      </c>
      <c r="AY34" s="3" t="s">
        <v>105</v>
      </c>
      <c r="AZ34" s="5"/>
      <c r="BA34" s="5">
        <v>0</v>
      </c>
    </row>
    <row r="35" spans="1:53" ht="17.399999999999999" thickBot="1" x14ac:dyDescent="0.35">
      <c r="A35" s="3">
        <v>33</v>
      </c>
      <c r="B35" s="4">
        <v>45836</v>
      </c>
      <c r="C35" s="4">
        <v>45865</v>
      </c>
      <c r="D35" s="10">
        <v>45836</v>
      </c>
      <c r="E35" s="4">
        <v>45865</v>
      </c>
      <c r="F35" s="4">
        <v>45896</v>
      </c>
      <c r="G35" s="3"/>
      <c r="H35" s="3" t="s">
        <v>90</v>
      </c>
      <c r="I35" s="3" t="s">
        <v>90</v>
      </c>
      <c r="J35" s="3" t="s">
        <v>90</v>
      </c>
      <c r="K35" s="3" t="s">
        <v>90</v>
      </c>
      <c r="L35" s="3" t="s">
        <v>90</v>
      </c>
      <c r="M35" s="3" t="s">
        <v>90</v>
      </c>
      <c r="N35" s="3" t="s">
        <v>90</v>
      </c>
      <c r="O35" s="3" t="s">
        <v>90</v>
      </c>
      <c r="P35" s="5" t="s">
        <v>91</v>
      </c>
      <c r="Q35" s="5" t="s">
        <v>92</v>
      </c>
      <c r="R35" s="5">
        <v>0</v>
      </c>
      <c r="S35" s="13" t="s">
        <v>93</v>
      </c>
      <c r="T35" s="5" t="s">
        <v>258</v>
      </c>
      <c r="U35" s="5">
        <v>557.17999999999995</v>
      </c>
      <c r="V35" s="5" t="s">
        <v>259</v>
      </c>
      <c r="W35" s="5">
        <v>117.01</v>
      </c>
      <c r="X35" s="5" t="s">
        <v>97</v>
      </c>
      <c r="Y35" s="5" t="s">
        <v>98</v>
      </c>
      <c r="Z35" s="5" t="s">
        <v>99</v>
      </c>
      <c r="AA35" s="5">
        <v>41.67</v>
      </c>
      <c r="AB35" s="5"/>
      <c r="AC35" s="5"/>
      <c r="AD35" s="5">
        <v>0</v>
      </c>
      <c r="AE35" s="5" t="s">
        <v>257</v>
      </c>
      <c r="AF35" s="5" t="s">
        <v>260</v>
      </c>
      <c r="AG35" s="5" t="s">
        <v>261</v>
      </c>
      <c r="AH35" s="5" t="s">
        <v>261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3" t="s">
        <v>103</v>
      </c>
      <c r="AO35" s="5">
        <v>9</v>
      </c>
      <c r="AP35" s="5">
        <v>2</v>
      </c>
      <c r="AQ35" s="5">
        <v>123.82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3" t="s">
        <v>104</v>
      </c>
      <c r="AX35" s="3" t="s">
        <v>105</v>
      </c>
      <c r="AY35" s="3" t="s">
        <v>105</v>
      </c>
      <c r="AZ35" s="5"/>
      <c r="BA35" s="5">
        <v>0</v>
      </c>
    </row>
    <row r="36" spans="1:53" ht="17.399999999999999" thickBot="1" x14ac:dyDescent="0.35">
      <c r="A36" s="3">
        <v>34</v>
      </c>
      <c r="B36" s="4">
        <v>45866</v>
      </c>
      <c r="C36" s="4">
        <v>45896</v>
      </c>
      <c r="D36" s="10">
        <v>45866</v>
      </c>
      <c r="E36" s="4">
        <v>45896</v>
      </c>
      <c r="F36" s="4">
        <v>45926</v>
      </c>
      <c r="G36" s="3"/>
      <c r="H36" s="3" t="s">
        <v>90</v>
      </c>
      <c r="I36" s="3" t="s">
        <v>90</v>
      </c>
      <c r="J36" s="3" t="s">
        <v>90</v>
      </c>
      <c r="K36" s="3" t="s">
        <v>90</v>
      </c>
      <c r="L36" s="3" t="s">
        <v>90</v>
      </c>
      <c r="M36" s="3" t="s">
        <v>90</v>
      </c>
      <c r="N36" s="3" t="s">
        <v>90</v>
      </c>
      <c r="O36" s="3" t="s">
        <v>90</v>
      </c>
      <c r="P36" s="5" t="s">
        <v>91</v>
      </c>
      <c r="Q36" s="5" t="s">
        <v>92</v>
      </c>
      <c r="R36" s="5">
        <v>0</v>
      </c>
      <c r="S36" s="13" t="s">
        <v>93</v>
      </c>
      <c r="T36" s="5" t="s">
        <v>262</v>
      </c>
      <c r="U36" s="5">
        <v>428.71</v>
      </c>
      <c r="V36" s="5" t="s">
        <v>263</v>
      </c>
      <c r="W36" s="5">
        <v>90.03</v>
      </c>
      <c r="X36" s="5" t="s">
        <v>97</v>
      </c>
      <c r="Y36" s="5" t="s">
        <v>98</v>
      </c>
      <c r="Z36" s="5" t="s">
        <v>99</v>
      </c>
      <c r="AA36" s="5">
        <v>41.67</v>
      </c>
      <c r="AB36" s="5"/>
      <c r="AC36" s="5"/>
      <c r="AD36" s="5">
        <v>0</v>
      </c>
      <c r="AE36" s="5" t="s">
        <v>261</v>
      </c>
      <c r="AF36" s="5" t="s">
        <v>264</v>
      </c>
      <c r="AG36" s="5" t="s">
        <v>265</v>
      </c>
      <c r="AH36" s="5" t="s">
        <v>265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3" t="s">
        <v>103</v>
      </c>
      <c r="AO36" s="5">
        <v>9</v>
      </c>
      <c r="AP36" s="5">
        <v>2</v>
      </c>
      <c r="AQ36" s="5">
        <v>95.27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3" t="s">
        <v>104</v>
      </c>
      <c r="AX36" s="3" t="s">
        <v>105</v>
      </c>
      <c r="AY36" s="3" t="s">
        <v>105</v>
      </c>
      <c r="AZ36" s="5"/>
      <c r="BA36" s="5">
        <v>0</v>
      </c>
    </row>
    <row r="37" spans="1:53" ht="17.399999999999999" thickBot="1" x14ac:dyDescent="0.35">
      <c r="A37" s="3">
        <v>35</v>
      </c>
      <c r="B37" s="4">
        <v>45897</v>
      </c>
      <c r="C37" s="4">
        <v>45927</v>
      </c>
      <c r="D37" s="10">
        <v>45897</v>
      </c>
      <c r="E37" s="4">
        <v>45927</v>
      </c>
      <c r="F37" s="4">
        <v>45957</v>
      </c>
      <c r="G37" s="3"/>
      <c r="H37" s="3" t="s">
        <v>90</v>
      </c>
      <c r="I37" s="3" t="s">
        <v>90</v>
      </c>
      <c r="J37" s="3" t="s">
        <v>90</v>
      </c>
      <c r="K37" s="3" t="s">
        <v>90</v>
      </c>
      <c r="L37" s="3" t="s">
        <v>90</v>
      </c>
      <c r="M37" s="3" t="s">
        <v>90</v>
      </c>
      <c r="N37" s="3" t="s">
        <v>90</v>
      </c>
      <c r="O37" s="3" t="s">
        <v>90</v>
      </c>
      <c r="P37" s="5" t="s">
        <v>91</v>
      </c>
      <c r="Q37" s="5" t="s">
        <v>92</v>
      </c>
      <c r="R37" s="5">
        <v>0</v>
      </c>
      <c r="S37" s="13" t="s">
        <v>93</v>
      </c>
      <c r="T37" s="5" t="s">
        <v>266</v>
      </c>
      <c r="U37" s="5">
        <v>299.27999999999997</v>
      </c>
      <c r="V37" s="5" t="s">
        <v>267</v>
      </c>
      <c r="W37" s="5">
        <v>62.85</v>
      </c>
      <c r="X37" s="5" t="s">
        <v>97</v>
      </c>
      <c r="Y37" s="5" t="s">
        <v>98</v>
      </c>
      <c r="Z37" s="5" t="s">
        <v>99</v>
      </c>
      <c r="AA37" s="5">
        <v>41.67</v>
      </c>
      <c r="AB37" s="5"/>
      <c r="AC37" s="5"/>
      <c r="AD37" s="5">
        <v>0</v>
      </c>
      <c r="AE37" s="5" t="s">
        <v>265</v>
      </c>
      <c r="AF37" s="5" t="s">
        <v>268</v>
      </c>
      <c r="AG37" s="5" t="s">
        <v>269</v>
      </c>
      <c r="AH37" s="5" t="s">
        <v>269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3" t="s">
        <v>103</v>
      </c>
      <c r="AO37" s="5">
        <v>9</v>
      </c>
      <c r="AP37" s="5">
        <v>2</v>
      </c>
      <c r="AQ37" s="5">
        <v>66.510000000000005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3" t="s">
        <v>104</v>
      </c>
      <c r="AX37" s="3" t="s">
        <v>105</v>
      </c>
      <c r="AY37" s="3" t="s">
        <v>105</v>
      </c>
      <c r="AZ37" s="5"/>
      <c r="BA37" s="5">
        <v>0</v>
      </c>
    </row>
    <row r="38" spans="1:53" ht="17.399999999999999" thickBot="1" x14ac:dyDescent="0.35">
      <c r="A38" s="3">
        <v>36</v>
      </c>
      <c r="B38" s="4">
        <v>45928</v>
      </c>
      <c r="C38" s="4">
        <v>45957</v>
      </c>
      <c r="D38" s="10">
        <v>45928</v>
      </c>
      <c r="E38" s="4">
        <v>45957</v>
      </c>
      <c r="F38" s="4">
        <v>45988</v>
      </c>
      <c r="G38" s="3"/>
      <c r="H38" s="3" t="s">
        <v>90</v>
      </c>
      <c r="I38" s="3" t="s">
        <v>90</v>
      </c>
      <c r="J38" s="3" t="s">
        <v>90</v>
      </c>
      <c r="K38" s="3" t="s">
        <v>90</v>
      </c>
      <c r="L38" s="3" t="s">
        <v>90</v>
      </c>
      <c r="M38" s="3" t="s">
        <v>90</v>
      </c>
      <c r="N38" s="3" t="s">
        <v>90</v>
      </c>
      <c r="O38" s="3" t="s">
        <v>90</v>
      </c>
      <c r="P38" s="5" t="s">
        <v>91</v>
      </c>
      <c r="Q38" s="5" t="s">
        <v>92</v>
      </c>
      <c r="R38" s="5">
        <v>0</v>
      </c>
      <c r="S38" s="13" t="s">
        <v>93</v>
      </c>
      <c r="T38" s="5" t="s">
        <v>270</v>
      </c>
      <c r="U38" s="5">
        <v>168.89</v>
      </c>
      <c r="V38" s="5" t="s">
        <v>271</v>
      </c>
      <c r="W38" s="5">
        <v>35.47</v>
      </c>
      <c r="X38" s="5" t="s">
        <v>97</v>
      </c>
      <c r="Y38" s="5" t="s">
        <v>98</v>
      </c>
      <c r="Z38" s="5" t="s">
        <v>99</v>
      </c>
      <c r="AA38" s="5">
        <v>41.67</v>
      </c>
      <c r="AB38" s="5"/>
      <c r="AC38" s="5"/>
      <c r="AD38" s="5">
        <v>0</v>
      </c>
      <c r="AE38" s="5" t="s">
        <v>269</v>
      </c>
      <c r="AF38" s="5" t="s">
        <v>272</v>
      </c>
      <c r="AG38" s="5" t="s">
        <v>273</v>
      </c>
      <c r="AH38" s="5" t="s">
        <v>273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3" t="s">
        <v>103</v>
      </c>
      <c r="AO38" s="5">
        <v>9</v>
      </c>
      <c r="AP38" s="5">
        <v>2</v>
      </c>
      <c r="AQ38" s="5">
        <v>37.53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3" t="s">
        <v>104</v>
      </c>
      <c r="AX38" s="3" t="s">
        <v>105</v>
      </c>
      <c r="AY38" s="3" t="s">
        <v>105</v>
      </c>
      <c r="AZ38" s="5"/>
      <c r="BA38" s="5">
        <v>0</v>
      </c>
    </row>
    <row r="39" spans="1:53" ht="16.8" x14ac:dyDescent="0.3">
      <c r="A39" s="3">
        <v>37</v>
      </c>
      <c r="B39" s="3"/>
      <c r="C39" s="3"/>
      <c r="D39" s="10">
        <v>45957</v>
      </c>
      <c r="E39" s="4">
        <v>45957</v>
      </c>
      <c r="F39" s="4">
        <v>45964</v>
      </c>
      <c r="G39" s="3"/>
      <c r="H39" s="3" t="s">
        <v>90</v>
      </c>
      <c r="I39" s="3" t="s">
        <v>90</v>
      </c>
      <c r="J39" s="3" t="s">
        <v>90</v>
      </c>
      <c r="K39" s="3" t="s">
        <v>90</v>
      </c>
      <c r="L39" s="3" t="s">
        <v>90</v>
      </c>
      <c r="M39" s="3" t="s">
        <v>90</v>
      </c>
      <c r="N39" s="3" t="s">
        <v>90</v>
      </c>
      <c r="O39" s="3" t="s">
        <v>274</v>
      </c>
      <c r="P39" s="5" t="s">
        <v>275</v>
      </c>
      <c r="Q39" s="5" t="s">
        <v>273</v>
      </c>
      <c r="R39" s="5">
        <v>0</v>
      </c>
      <c r="S39" s="13" t="s">
        <v>273</v>
      </c>
      <c r="T39" s="5" t="s">
        <v>273</v>
      </c>
      <c r="U39" s="5"/>
      <c r="V39" s="5" t="s">
        <v>276</v>
      </c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>
        <v>0</v>
      </c>
      <c r="AH39" s="5"/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3" t="s">
        <v>103</v>
      </c>
      <c r="AO39" s="5">
        <v>0</v>
      </c>
      <c r="AP39" s="5">
        <v>2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3" t="s">
        <v>104</v>
      </c>
      <c r="AX39" s="3" t="s">
        <v>105</v>
      </c>
      <c r="AY39" s="3" t="s">
        <v>105</v>
      </c>
      <c r="AZ39" s="5"/>
      <c r="BA39" s="5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CC71E-4A96-421D-BD82-14FEBBB06873}">
  <dimension ref="A1:T37"/>
  <sheetViews>
    <sheetView workbookViewId="0">
      <selection activeCell="H2" sqref="H2:H37"/>
    </sheetView>
  </sheetViews>
  <sheetFormatPr defaultRowHeight="14.4" x14ac:dyDescent="0.3"/>
  <cols>
    <col min="8" max="8" width="13.109375" customWidth="1"/>
  </cols>
  <sheetData>
    <row r="1" spans="1:20" ht="53.4" thickBot="1" x14ac:dyDescent="0.35">
      <c r="A1" s="2" t="s">
        <v>37</v>
      </c>
      <c r="B1" s="2" t="s">
        <v>277</v>
      </c>
      <c r="C1" s="2" t="s">
        <v>278</v>
      </c>
      <c r="D1" s="2" t="s">
        <v>279</v>
      </c>
      <c r="E1" s="2" t="s">
        <v>40</v>
      </c>
      <c r="F1" s="2" t="s">
        <v>42</v>
      </c>
      <c r="G1" s="2" t="s">
        <v>280</v>
      </c>
      <c r="H1" s="2" t="s">
        <v>52</v>
      </c>
      <c r="I1" s="2" t="s">
        <v>281</v>
      </c>
      <c r="J1" s="2" t="s">
        <v>282</v>
      </c>
      <c r="K1" s="2" t="s">
        <v>45</v>
      </c>
      <c r="L1" s="2" t="s">
        <v>283</v>
      </c>
      <c r="M1" s="2" t="s">
        <v>50</v>
      </c>
      <c r="N1" s="2" t="s">
        <v>284</v>
      </c>
      <c r="O1" s="2" t="s">
        <v>285</v>
      </c>
      <c r="P1" s="2" t="s">
        <v>286</v>
      </c>
      <c r="Q1" s="2" t="s">
        <v>287</v>
      </c>
      <c r="R1" s="2" t="s">
        <v>288</v>
      </c>
      <c r="S1" s="2" t="s">
        <v>289</v>
      </c>
      <c r="T1" s="2" t="s">
        <v>48</v>
      </c>
    </row>
    <row r="2" spans="1:20" ht="17.399999999999999" thickBot="1" x14ac:dyDescent="0.35">
      <c r="A2" s="3">
        <v>1</v>
      </c>
      <c r="B2" s="3">
        <v>1</v>
      </c>
      <c r="C2" s="4">
        <v>44862</v>
      </c>
      <c r="D2" s="4">
        <v>44892</v>
      </c>
      <c r="E2" s="4">
        <v>44862</v>
      </c>
      <c r="F2" s="4">
        <v>44922</v>
      </c>
      <c r="G2" s="3"/>
      <c r="H2" s="5" t="s">
        <v>98</v>
      </c>
      <c r="I2" s="5" t="s">
        <v>98</v>
      </c>
      <c r="J2" s="3" t="s">
        <v>90</v>
      </c>
      <c r="K2" s="3" t="s">
        <v>90</v>
      </c>
      <c r="L2" s="3" t="s">
        <v>274</v>
      </c>
      <c r="M2" s="3" t="s">
        <v>90</v>
      </c>
      <c r="N2" s="5">
        <v>1</v>
      </c>
      <c r="O2" s="3"/>
      <c r="P2" s="17">
        <v>44887.481249999997</v>
      </c>
      <c r="Q2" s="3"/>
      <c r="R2" s="17">
        <v>44887.481249999997</v>
      </c>
      <c r="S2" s="3"/>
      <c r="T2" s="3" t="s">
        <v>90</v>
      </c>
    </row>
    <row r="3" spans="1:20" ht="17.399999999999999" thickBot="1" x14ac:dyDescent="0.35">
      <c r="A3" s="3">
        <v>2</v>
      </c>
      <c r="B3" s="3">
        <v>2</v>
      </c>
      <c r="C3" s="4">
        <v>44893</v>
      </c>
      <c r="D3" s="4">
        <v>44922</v>
      </c>
      <c r="E3" s="4">
        <v>44893</v>
      </c>
      <c r="F3" s="4">
        <v>44953</v>
      </c>
      <c r="G3" s="3"/>
      <c r="H3" s="5" t="s">
        <v>98</v>
      </c>
      <c r="I3" s="5" t="s">
        <v>98</v>
      </c>
      <c r="J3" s="3" t="s">
        <v>90</v>
      </c>
      <c r="K3" s="3" t="s">
        <v>90</v>
      </c>
      <c r="L3" s="3" t="s">
        <v>274</v>
      </c>
      <c r="M3" s="3" t="s">
        <v>90</v>
      </c>
      <c r="N3" s="5">
        <v>1</v>
      </c>
      <c r="O3" s="3"/>
      <c r="P3" s="17">
        <v>44887.481249999997</v>
      </c>
      <c r="Q3" s="3"/>
      <c r="R3" s="17">
        <v>44887.481249999997</v>
      </c>
      <c r="S3" s="3"/>
      <c r="T3" s="3" t="s">
        <v>90</v>
      </c>
    </row>
    <row r="4" spans="1:20" ht="17.399999999999999" thickBot="1" x14ac:dyDescent="0.35">
      <c r="A4" s="3">
        <v>3</v>
      </c>
      <c r="B4" s="3">
        <v>3</v>
      </c>
      <c r="C4" s="4">
        <v>44923</v>
      </c>
      <c r="D4" s="4">
        <v>44953</v>
      </c>
      <c r="E4" s="4">
        <v>44923</v>
      </c>
      <c r="F4" s="4">
        <v>44983</v>
      </c>
      <c r="G4" s="3"/>
      <c r="H4" s="5" t="s">
        <v>98</v>
      </c>
      <c r="I4" s="5" t="s">
        <v>98</v>
      </c>
      <c r="J4" s="3" t="s">
        <v>90</v>
      </c>
      <c r="K4" s="3" t="s">
        <v>90</v>
      </c>
      <c r="L4" s="3" t="s">
        <v>274</v>
      </c>
      <c r="M4" s="3" t="s">
        <v>90</v>
      </c>
      <c r="N4" s="5">
        <v>1</v>
      </c>
      <c r="O4" s="3"/>
      <c r="P4" s="17">
        <v>44887.481249999997</v>
      </c>
      <c r="Q4" s="3"/>
      <c r="R4" s="17">
        <v>44887.481249999997</v>
      </c>
      <c r="S4" s="3"/>
      <c r="T4" s="3" t="s">
        <v>90</v>
      </c>
    </row>
    <row r="5" spans="1:20" ht="17.399999999999999" thickBot="1" x14ac:dyDescent="0.35">
      <c r="A5" s="3">
        <v>4</v>
      </c>
      <c r="B5" s="3">
        <v>4</v>
      </c>
      <c r="C5" s="4">
        <v>44954</v>
      </c>
      <c r="D5" s="4">
        <v>44984</v>
      </c>
      <c r="E5" s="4">
        <v>44954</v>
      </c>
      <c r="F5" s="4">
        <v>45014</v>
      </c>
      <c r="G5" s="3"/>
      <c r="H5" s="5" t="s">
        <v>98</v>
      </c>
      <c r="I5" s="5" t="s">
        <v>98</v>
      </c>
      <c r="J5" s="3" t="s">
        <v>90</v>
      </c>
      <c r="K5" s="3" t="s">
        <v>90</v>
      </c>
      <c r="L5" s="3" t="s">
        <v>274</v>
      </c>
      <c r="M5" s="3" t="s">
        <v>90</v>
      </c>
      <c r="N5" s="5">
        <v>1</v>
      </c>
      <c r="O5" s="3"/>
      <c r="P5" s="17">
        <v>44887.481249999997</v>
      </c>
      <c r="Q5" s="3"/>
      <c r="R5" s="17">
        <v>44887.481249999997</v>
      </c>
      <c r="S5" s="3"/>
      <c r="T5" s="3" t="s">
        <v>90</v>
      </c>
    </row>
    <row r="6" spans="1:20" ht="17.399999999999999" thickBot="1" x14ac:dyDescent="0.35">
      <c r="A6" s="3">
        <v>5</v>
      </c>
      <c r="B6" s="3">
        <v>5</v>
      </c>
      <c r="C6" s="4">
        <v>44985</v>
      </c>
      <c r="D6" s="4">
        <v>45012</v>
      </c>
      <c r="E6" s="4">
        <v>44985</v>
      </c>
      <c r="F6" s="4">
        <v>45045</v>
      </c>
      <c r="G6" s="3"/>
      <c r="H6" s="5" t="s">
        <v>98</v>
      </c>
      <c r="I6" s="5" t="s">
        <v>98</v>
      </c>
      <c r="J6" s="3" t="s">
        <v>90</v>
      </c>
      <c r="K6" s="3" t="s">
        <v>90</v>
      </c>
      <c r="L6" s="3" t="s">
        <v>274</v>
      </c>
      <c r="M6" s="3" t="s">
        <v>90</v>
      </c>
      <c r="N6" s="5">
        <v>1</v>
      </c>
      <c r="O6" s="3"/>
      <c r="P6" s="17">
        <v>44887.481249999997</v>
      </c>
      <c r="Q6" s="3"/>
      <c r="R6" s="17">
        <v>44887.481249999997</v>
      </c>
      <c r="S6" s="3"/>
      <c r="T6" s="3" t="s">
        <v>90</v>
      </c>
    </row>
    <row r="7" spans="1:20" ht="17.399999999999999" thickBot="1" x14ac:dyDescent="0.35">
      <c r="A7" s="3">
        <v>6</v>
      </c>
      <c r="B7" s="3">
        <v>6</v>
      </c>
      <c r="C7" s="4">
        <v>45013</v>
      </c>
      <c r="D7" s="4">
        <v>45043</v>
      </c>
      <c r="E7" s="4">
        <v>45013</v>
      </c>
      <c r="F7" s="4">
        <v>45073</v>
      </c>
      <c r="G7" s="3"/>
      <c r="H7" s="5" t="s">
        <v>98</v>
      </c>
      <c r="I7" s="5" t="s">
        <v>98</v>
      </c>
      <c r="J7" s="3" t="s">
        <v>90</v>
      </c>
      <c r="K7" s="3" t="s">
        <v>90</v>
      </c>
      <c r="L7" s="3" t="s">
        <v>274</v>
      </c>
      <c r="M7" s="3" t="s">
        <v>90</v>
      </c>
      <c r="N7" s="5">
        <v>1</v>
      </c>
      <c r="O7" s="3"/>
      <c r="P7" s="17">
        <v>44887.481249999997</v>
      </c>
      <c r="Q7" s="3"/>
      <c r="R7" s="17">
        <v>44887.481249999997</v>
      </c>
      <c r="S7" s="3"/>
      <c r="T7" s="3" t="s">
        <v>90</v>
      </c>
    </row>
    <row r="8" spans="1:20" ht="17.399999999999999" thickBot="1" x14ac:dyDescent="0.35">
      <c r="A8" s="3">
        <v>7</v>
      </c>
      <c r="B8" s="3">
        <v>7</v>
      </c>
      <c r="C8" s="4">
        <v>45044</v>
      </c>
      <c r="D8" s="4">
        <v>45073</v>
      </c>
      <c r="E8" s="4">
        <v>45044</v>
      </c>
      <c r="F8" s="4">
        <v>45104</v>
      </c>
      <c r="G8" s="3"/>
      <c r="H8" s="5" t="s">
        <v>98</v>
      </c>
      <c r="I8" s="5" t="s">
        <v>98</v>
      </c>
      <c r="J8" s="3" t="s">
        <v>90</v>
      </c>
      <c r="K8" s="3" t="s">
        <v>90</v>
      </c>
      <c r="L8" s="3" t="s">
        <v>274</v>
      </c>
      <c r="M8" s="3" t="s">
        <v>90</v>
      </c>
      <c r="N8" s="5">
        <v>1</v>
      </c>
      <c r="O8" s="3"/>
      <c r="P8" s="17">
        <v>44887.481249999997</v>
      </c>
      <c r="Q8" s="3"/>
      <c r="R8" s="17">
        <v>44887.481249999997</v>
      </c>
      <c r="S8" s="3"/>
      <c r="T8" s="3" t="s">
        <v>90</v>
      </c>
    </row>
    <row r="9" spans="1:20" ht="17.399999999999999" thickBot="1" x14ac:dyDescent="0.35">
      <c r="A9" s="3">
        <v>8</v>
      </c>
      <c r="B9" s="3">
        <v>8</v>
      </c>
      <c r="C9" s="4">
        <v>45074</v>
      </c>
      <c r="D9" s="4">
        <v>45104</v>
      </c>
      <c r="E9" s="4">
        <v>45074</v>
      </c>
      <c r="F9" s="4">
        <v>45134</v>
      </c>
      <c r="G9" s="3"/>
      <c r="H9" s="5" t="s">
        <v>98</v>
      </c>
      <c r="I9" s="5" t="s">
        <v>98</v>
      </c>
      <c r="J9" s="3" t="s">
        <v>90</v>
      </c>
      <c r="K9" s="3" t="s">
        <v>90</v>
      </c>
      <c r="L9" s="3" t="s">
        <v>274</v>
      </c>
      <c r="M9" s="3" t="s">
        <v>90</v>
      </c>
      <c r="N9" s="5">
        <v>1</v>
      </c>
      <c r="O9" s="3"/>
      <c r="P9" s="17">
        <v>44887.481249999997</v>
      </c>
      <c r="Q9" s="3"/>
      <c r="R9" s="17">
        <v>44887.481249999997</v>
      </c>
      <c r="S9" s="3"/>
      <c r="T9" s="3" t="s">
        <v>90</v>
      </c>
    </row>
    <row r="10" spans="1:20" ht="17.399999999999999" thickBot="1" x14ac:dyDescent="0.35">
      <c r="A10" s="3">
        <v>9</v>
      </c>
      <c r="B10" s="3">
        <v>9</v>
      </c>
      <c r="C10" s="4">
        <v>45105</v>
      </c>
      <c r="D10" s="4">
        <v>45134</v>
      </c>
      <c r="E10" s="4">
        <v>45105</v>
      </c>
      <c r="F10" s="4">
        <v>45165</v>
      </c>
      <c r="G10" s="3"/>
      <c r="H10" s="5" t="s">
        <v>98</v>
      </c>
      <c r="I10" s="5" t="s">
        <v>98</v>
      </c>
      <c r="J10" s="3" t="s">
        <v>90</v>
      </c>
      <c r="K10" s="3" t="s">
        <v>90</v>
      </c>
      <c r="L10" s="3" t="s">
        <v>274</v>
      </c>
      <c r="M10" s="3" t="s">
        <v>90</v>
      </c>
      <c r="N10" s="5">
        <v>1</v>
      </c>
      <c r="O10" s="3"/>
      <c r="P10" s="17">
        <v>44887.481249999997</v>
      </c>
      <c r="Q10" s="3"/>
      <c r="R10" s="17">
        <v>44887.481249999997</v>
      </c>
      <c r="S10" s="3"/>
      <c r="T10" s="3" t="s">
        <v>90</v>
      </c>
    </row>
    <row r="11" spans="1:20" ht="17.399999999999999" thickBot="1" x14ac:dyDescent="0.35">
      <c r="A11" s="3">
        <v>10</v>
      </c>
      <c r="B11" s="3">
        <v>10</v>
      </c>
      <c r="C11" s="4">
        <v>45135</v>
      </c>
      <c r="D11" s="4">
        <v>45165</v>
      </c>
      <c r="E11" s="4">
        <v>45135</v>
      </c>
      <c r="F11" s="4">
        <v>45195</v>
      </c>
      <c r="G11" s="3"/>
      <c r="H11" s="5" t="s">
        <v>98</v>
      </c>
      <c r="I11" s="5" t="s">
        <v>98</v>
      </c>
      <c r="J11" s="3" t="s">
        <v>90</v>
      </c>
      <c r="K11" s="3" t="s">
        <v>90</v>
      </c>
      <c r="L11" s="3" t="s">
        <v>274</v>
      </c>
      <c r="M11" s="3" t="s">
        <v>90</v>
      </c>
      <c r="N11" s="5">
        <v>1</v>
      </c>
      <c r="O11" s="3"/>
      <c r="P11" s="17">
        <v>44887.481249999997</v>
      </c>
      <c r="Q11" s="3"/>
      <c r="R11" s="17">
        <v>44887.481249999997</v>
      </c>
      <c r="S11" s="3"/>
      <c r="T11" s="3" t="s">
        <v>90</v>
      </c>
    </row>
    <row r="12" spans="1:20" ht="17.399999999999999" thickBot="1" x14ac:dyDescent="0.35">
      <c r="A12" s="3">
        <v>11</v>
      </c>
      <c r="B12" s="3">
        <v>11</v>
      </c>
      <c r="C12" s="4">
        <v>45166</v>
      </c>
      <c r="D12" s="4">
        <v>45196</v>
      </c>
      <c r="E12" s="4">
        <v>45166</v>
      </c>
      <c r="F12" s="4">
        <v>45226</v>
      </c>
      <c r="G12" s="3"/>
      <c r="H12" s="5" t="s">
        <v>98</v>
      </c>
      <c r="I12" s="5" t="s">
        <v>98</v>
      </c>
      <c r="J12" s="3" t="s">
        <v>90</v>
      </c>
      <c r="K12" s="3" t="s">
        <v>90</v>
      </c>
      <c r="L12" s="3" t="s">
        <v>274</v>
      </c>
      <c r="M12" s="3" t="s">
        <v>90</v>
      </c>
      <c r="N12" s="5">
        <v>1</v>
      </c>
      <c r="O12" s="3"/>
      <c r="P12" s="17">
        <v>44887.481249999997</v>
      </c>
      <c r="Q12" s="3"/>
      <c r="R12" s="17">
        <v>44887.481249999997</v>
      </c>
      <c r="S12" s="3"/>
      <c r="T12" s="3" t="s">
        <v>90</v>
      </c>
    </row>
    <row r="13" spans="1:20" ht="17.399999999999999" thickBot="1" x14ac:dyDescent="0.35">
      <c r="A13" s="3">
        <v>12</v>
      </c>
      <c r="B13" s="3">
        <v>12</v>
      </c>
      <c r="C13" s="4">
        <v>45197</v>
      </c>
      <c r="D13" s="4">
        <v>45226</v>
      </c>
      <c r="E13" s="4">
        <v>45197</v>
      </c>
      <c r="F13" s="4">
        <v>45257</v>
      </c>
      <c r="G13" s="3"/>
      <c r="H13" s="5" t="s">
        <v>98</v>
      </c>
      <c r="I13" s="5" t="s">
        <v>98</v>
      </c>
      <c r="J13" s="3" t="s">
        <v>90</v>
      </c>
      <c r="K13" s="3" t="s">
        <v>90</v>
      </c>
      <c r="L13" s="3" t="s">
        <v>274</v>
      </c>
      <c r="M13" s="3" t="s">
        <v>90</v>
      </c>
      <c r="N13" s="5">
        <v>1</v>
      </c>
      <c r="O13" s="3"/>
      <c r="P13" s="17">
        <v>44887.481249999997</v>
      </c>
      <c r="Q13" s="3"/>
      <c r="R13" s="17">
        <v>44887.481249999997</v>
      </c>
      <c r="S13" s="3"/>
      <c r="T13" s="3" t="s">
        <v>90</v>
      </c>
    </row>
    <row r="14" spans="1:20" ht="17.399999999999999" thickBot="1" x14ac:dyDescent="0.35">
      <c r="A14" s="3">
        <v>13</v>
      </c>
      <c r="B14" s="3">
        <v>13</v>
      </c>
      <c r="C14" s="4">
        <v>45227</v>
      </c>
      <c r="D14" s="4">
        <v>45257</v>
      </c>
      <c r="E14" s="4">
        <v>45227</v>
      </c>
      <c r="F14" s="4">
        <v>45287</v>
      </c>
      <c r="G14" s="3"/>
      <c r="H14" s="5" t="s">
        <v>98</v>
      </c>
      <c r="I14" s="5" t="s">
        <v>98</v>
      </c>
      <c r="J14" s="3" t="s">
        <v>90</v>
      </c>
      <c r="K14" s="3" t="s">
        <v>90</v>
      </c>
      <c r="L14" s="3" t="s">
        <v>274</v>
      </c>
      <c r="M14" s="3" t="s">
        <v>90</v>
      </c>
      <c r="N14" s="5">
        <v>1</v>
      </c>
      <c r="O14" s="3"/>
      <c r="P14" s="17">
        <v>44887.481249999997</v>
      </c>
      <c r="Q14" s="3"/>
      <c r="R14" s="17">
        <v>44887.481249999997</v>
      </c>
      <c r="S14" s="3"/>
      <c r="T14" s="3" t="s">
        <v>90</v>
      </c>
    </row>
    <row r="15" spans="1:20" ht="17.399999999999999" thickBot="1" x14ac:dyDescent="0.35">
      <c r="A15" s="3">
        <v>14</v>
      </c>
      <c r="B15" s="3">
        <v>14</v>
      </c>
      <c r="C15" s="4">
        <v>45258</v>
      </c>
      <c r="D15" s="4">
        <v>45287</v>
      </c>
      <c r="E15" s="4">
        <v>45258</v>
      </c>
      <c r="F15" s="4">
        <v>45318</v>
      </c>
      <c r="G15" s="3"/>
      <c r="H15" s="5" t="s">
        <v>98</v>
      </c>
      <c r="I15" s="5" t="s">
        <v>98</v>
      </c>
      <c r="J15" s="3" t="s">
        <v>90</v>
      </c>
      <c r="K15" s="3" t="s">
        <v>90</v>
      </c>
      <c r="L15" s="3" t="s">
        <v>274</v>
      </c>
      <c r="M15" s="3" t="s">
        <v>90</v>
      </c>
      <c r="N15" s="5">
        <v>1</v>
      </c>
      <c r="O15" s="3"/>
      <c r="P15" s="17">
        <v>44887.481249999997</v>
      </c>
      <c r="Q15" s="3"/>
      <c r="R15" s="17">
        <v>44887.481249999997</v>
      </c>
      <c r="S15" s="3"/>
      <c r="T15" s="3" t="s">
        <v>90</v>
      </c>
    </row>
    <row r="16" spans="1:20" ht="17.399999999999999" thickBot="1" x14ac:dyDescent="0.35">
      <c r="A16" s="3">
        <v>15</v>
      </c>
      <c r="B16" s="3">
        <v>15</v>
      </c>
      <c r="C16" s="4">
        <v>45288</v>
      </c>
      <c r="D16" s="4">
        <v>45318</v>
      </c>
      <c r="E16" s="4">
        <v>45288</v>
      </c>
      <c r="F16" s="4">
        <v>45348</v>
      </c>
      <c r="G16" s="3"/>
      <c r="H16" s="5" t="s">
        <v>98</v>
      </c>
      <c r="I16" s="5" t="s">
        <v>98</v>
      </c>
      <c r="J16" s="3" t="s">
        <v>90</v>
      </c>
      <c r="K16" s="3" t="s">
        <v>90</v>
      </c>
      <c r="L16" s="3" t="s">
        <v>274</v>
      </c>
      <c r="M16" s="3" t="s">
        <v>90</v>
      </c>
      <c r="N16" s="5">
        <v>1</v>
      </c>
      <c r="O16" s="3"/>
      <c r="P16" s="17">
        <v>44887.481249999997</v>
      </c>
      <c r="Q16" s="3"/>
      <c r="R16" s="17">
        <v>44887.481249999997</v>
      </c>
      <c r="S16" s="3"/>
      <c r="T16" s="3" t="s">
        <v>90</v>
      </c>
    </row>
    <row r="17" spans="1:20" ht="17.399999999999999" thickBot="1" x14ac:dyDescent="0.35">
      <c r="A17" s="3">
        <v>16</v>
      </c>
      <c r="B17" s="3">
        <v>16</v>
      </c>
      <c r="C17" s="4">
        <v>45319</v>
      </c>
      <c r="D17" s="4">
        <v>45349</v>
      </c>
      <c r="E17" s="4">
        <v>45319</v>
      </c>
      <c r="F17" s="4">
        <v>45379</v>
      </c>
      <c r="G17" s="3"/>
      <c r="H17" s="5" t="s">
        <v>98</v>
      </c>
      <c r="I17" s="5" t="s">
        <v>98</v>
      </c>
      <c r="J17" s="3" t="s">
        <v>90</v>
      </c>
      <c r="K17" s="3" t="s">
        <v>90</v>
      </c>
      <c r="L17" s="3" t="s">
        <v>274</v>
      </c>
      <c r="M17" s="3" t="s">
        <v>90</v>
      </c>
      <c r="N17" s="5">
        <v>1</v>
      </c>
      <c r="O17" s="3"/>
      <c r="P17" s="17">
        <v>44887.481249999997</v>
      </c>
      <c r="Q17" s="3"/>
      <c r="R17" s="17">
        <v>44887.481249999997</v>
      </c>
      <c r="S17" s="3"/>
      <c r="T17" s="3" t="s">
        <v>90</v>
      </c>
    </row>
    <row r="18" spans="1:20" ht="17.399999999999999" thickBot="1" x14ac:dyDescent="0.35">
      <c r="A18" s="3">
        <v>17</v>
      </c>
      <c r="B18" s="3">
        <v>17</v>
      </c>
      <c r="C18" s="4">
        <v>45350</v>
      </c>
      <c r="D18" s="4">
        <v>45378</v>
      </c>
      <c r="E18" s="4">
        <v>45350</v>
      </c>
      <c r="F18" s="4">
        <v>45410</v>
      </c>
      <c r="G18" s="3"/>
      <c r="H18" s="5" t="s">
        <v>98</v>
      </c>
      <c r="I18" s="5" t="s">
        <v>98</v>
      </c>
      <c r="J18" s="3" t="s">
        <v>90</v>
      </c>
      <c r="K18" s="3" t="s">
        <v>90</v>
      </c>
      <c r="L18" s="3" t="s">
        <v>274</v>
      </c>
      <c r="M18" s="3" t="s">
        <v>90</v>
      </c>
      <c r="N18" s="5">
        <v>1</v>
      </c>
      <c r="O18" s="3"/>
      <c r="P18" s="17">
        <v>44887.481249999997</v>
      </c>
      <c r="Q18" s="3"/>
      <c r="R18" s="17">
        <v>44887.481249999997</v>
      </c>
      <c r="S18" s="3"/>
      <c r="T18" s="3" t="s">
        <v>90</v>
      </c>
    </row>
    <row r="19" spans="1:20" ht="17.399999999999999" thickBot="1" x14ac:dyDescent="0.35">
      <c r="A19" s="3">
        <v>18</v>
      </c>
      <c r="B19" s="3">
        <v>18</v>
      </c>
      <c r="C19" s="4">
        <v>45379</v>
      </c>
      <c r="D19" s="4">
        <v>45409</v>
      </c>
      <c r="E19" s="4">
        <v>45379</v>
      </c>
      <c r="F19" s="4">
        <v>45439</v>
      </c>
      <c r="G19" s="3"/>
      <c r="H19" s="5" t="s">
        <v>98</v>
      </c>
      <c r="I19" s="5" t="s">
        <v>98</v>
      </c>
      <c r="J19" s="3" t="s">
        <v>90</v>
      </c>
      <c r="K19" s="3" t="s">
        <v>90</v>
      </c>
      <c r="L19" s="3" t="s">
        <v>274</v>
      </c>
      <c r="M19" s="3" t="s">
        <v>90</v>
      </c>
      <c r="N19" s="5">
        <v>1</v>
      </c>
      <c r="O19" s="3"/>
      <c r="P19" s="17">
        <v>44887.481249999997</v>
      </c>
      <c r="Q19" s="3"/>
      <c r="R19" s="17">
        <v>44887.481249999997</v>
      </c>
      <c r="S19" s="3"/>
      <c r="T19" s="3" t="s">
        <v>90</v>
      </c>
    </row>
    <row r="20" spans="1:20" ht="17.399999999999999" thickBot="1" x14ac:dyDescent="0.35">
      <c r="A20" s="3">
        <v>19</v>
      </c>
      <c r="B20" s="3">
        <v>19</v>
      </c>
      <c r="C20" s="4">
        <v>45410</v>
      </c>
      <c r="D20" s="4">
        <v>45439</v>
      </c>
      <c r="E20" s="4">
        <v>45410</v>
      </c>
      <c r="F20" s="4">
        <v>45470</v>
      </c>
      <c r="G20" s="3"/>
      <c r="H20" s="5" t="s">
        <v>98</v>
      </c>
      <c r="I20" s="5" t="s">
        <v>98</v>
      </c>
      <c r="J20" s="3" t="s">
        <v>90</v>
      </c>
      <c r="K20" s="3" t="s">
        <v>90</v>
      </c>
      <c r="L20" s="3" t="s">
        <v>274</v>
      </c>
      <c r="M20" s="3" t="s">
        <v>90</v>
      </c>
      <c r="N20" s="5">
        <v>1</v>
      </c>
      <c r="O20" s="3"/>
      <c r="P20" s="17">
        <v>44887.481249999997</v>
      </c>
      <c r="Q20" s="3"/>
      <c r="R20" s="17">
        <v>44887.481249999997</v>
      </c>
      <c r="S20" s="3"/>
      <c r="T20" s="3" t="s">
        <v>90</v>
      </c>
    </row>
    <row r="21" spans="1:20" ht="17.399999999999999" thickBot="1" x14ac:dyDescent="0.35">
      <c r="A21" s="3">
        <v>20</v>
      </c>
      <c r="B21" s="3">
        <v>20</v>
      </c>
      <c r="C21" s="4">
        <v>45440</v>
      </c>
      <c r="D21" s="4">
        <v>45470</v>
      </c>
      <c r="E21" s="4">
        <v>45440</v>
      </c>
      <c r="F21" s="4">
        <v>45500</v>
      </c>
      <c r="G21" s="3"/>
      <c r="H21" s="5" t="s">
        <v>98</v>
      </c>
      <c r="I21" s="5" t="s">
        <v>98</v>
      </c>
      <c r="J21" s="3" t="s">
        <v>90</v>
      </c>
      <c r="K21" s="3" t="s">
        <v>90</v>
      </c>
      <c r="L21" s="3" t="s">
        <v>274</v>
      </c>
      <c r="M21" s="3" t="s">
        <v>90</v>
      </c>
      <c r="N21" s="5">
        <v>1</v>
      </c>
      <c r="O21" s="3"/>
      <c r="P21" s="17">
        <v>44887.481249999997</v>
      </c>
      <c r="Q21" s="3"/>
      <c r="R21" s="17">
        <v>44887.481249999997</v>
      </c>
      <c r="S21" s="3"/>
      <c r="T21" s="3" t="s">
        <v>90</v>
      </c>
    </row>
    <row r="22" spans="1:20" ht="17.399999999999999" thickBot="1" x14ac:dyDescent="0.35">
      <c r="A22" s="3">
        <v>21</v>
      </c>
      <c r="B22" s="3">
        <v>21</v>
      </c>
      <c r="C22" s="4">
        <v>45471</v>
      </c>
      <c r="D22" s="4">
        <v>45500</v>
      </c>
      <c r="E22" s="4">
        <v>45471</v>
      </c>
      <c r="F22" s="4">
        <v>45531</v>
      </c>
      <c r="G22" s="3"/>
      <c r="H22" s="5" t="s">
        <v>98</v>
      </c>
      <c r="I22" s="5" t="s">
        <v>98</v>
      </c>
      <c r="J22" s="3" t="s">
        <v>90</v>
      </c>
      <c r="K22" s="3" t="s">
        <v>90</v>
      </c>
      <c r="L22" s="3" t="s">
        <v>274</v>
      </c>
      <c r="M22" s="3" t="s">
        <v>90</v>
      </c>
      <c r="N22" s="5">
        <v>1</v>
      </c>
      <c r="O22" s="3"/>
      <c r="P22" s="17">
        <v>44887.481249999997</v>
      </c>
      <c r="Q22" s="3"/>
      <c r="R22" s="17">
        <v>44887.481249999997</v>
      </c>
      <c r="S22" s="3"/>
      <c r="T22" s="3" t="s">
        <v>90</v>
      </c>
    </row>
    <row r="23" spans="1:20" ht="17.399999999999999" thickBot="1" x14ac:dyDescent="0.35">
      <c r="A23" s="3">
        <v>22</v>
      </c>
      <c r="B23" s="3">
        <v>22</v>
      </c>
      <c r="C23" s="4">
        <v>45501</v>
      </c>
      <c r="D23" s="4">
        <v>45531</v>
      </c>
      <c r="E23" s="4">
        <v>45501</v>
      </c>
      <c r="F23" s="4">
        <v>45561</v>
      </c>
      <c r="G23" s="3"/>
      <c r="H23" s="5" t="s">
        <v>98</v>
      </c>
      <c r="I23" s="5" t="s">
        <v>98</v>
      </c>
      <c r="J23" s="3" t="s">
        <v>90</v>
      </c>
      <c r="K23" s="3" t="s">
        <v>90</v>
      </c>
      <c r="L23" s="3" t="s">
        <v>274</v>
      </c>
      <c r="M23" s="3" t="s">
        <v>90</v>
      </c>
      <c r="N23" s="5">
        <v>1</v>
      </c>
      <c r="O23" s="3"/>
      <c r="P23" s="17">
        <v>44887.481249999997</v>
      </c>
      <c r="Q23" s="3"/>
      <c r="R23" s="17">
        <v>44887.481249999997</v>
      </c>
      <c r="S23" s="3"/>
      <c r="T23" s="3" t="s">
        <v>90</v>
      </c>
    </row>
    <row r="24" spans="1:20" ht="17.399999999999999" thickBot="1" x14ac:dyDescent="0.35">
      <c r="A24" s="3">
        <v>23</v>
      </c>
      <c r="B24" s="3">
        <v>23</v>
      </c>
      <c r="C24" s="4">
        <v>45532</v>
      </c>
      <c r="D24" s="4">
        <v>45562</v>
      </c>
      <c r="E24" s="4">
        <v>45532</v>
      </c>
      <c r="F24" s="4">
        <v>45592</v>
      </c>
      <c r="G24" s="3"/>
      <c r="H24" s="5" t="s">
        <v>98</v>
      </c>
      <c r="I24" s="5" t="s">
        <v>98</v>
      </c>
      <c r="J24" s="3" t="s">
        <v>90</v>
      </c>
      <c r="K24" s="3" t="s">
        <v>90</v>
      </c>
      <c r="L24" s="3" t="s">
        <v>274</v>
      </c>
      <c r="M24" s="3" t="s">
        <v>90</v>
      </c>
      <c r="N24" s="5">
        <v>1</v>
      </c>
      <c r="O24" s="3"/>
      <c r="P24" s="17">
        <v>44887.481249999997</v>
      </c>
      <c r="Q24" s="3"/>
      <c r="R24" s="17">
        <v>44887.481249999997</v>
      </c>
      <c r="S24" s="3"/>
      <c r="T24" s="3" t="s">
        <v>90</v>
      </c>
    </row>
    <row r="25" spans="1:20" ht="17.399999999999999" thickBot="1" x14ac:dyDescent="0.35">
      <c r="A25" s="3">
        <v>24</v>
      </c>
      <c r="B25" s="3">
        <v>24</v>
      </c>
      <c r="C25" s="4">
        <v>45563</v>
      </c>
      <c r="D25" s="4">
        <v>45592</v>
      </c>
      <c r="E25" s="4">
        <v>45563</v>
      </c>
      <c r="F25" s="4">
        <v>45623</v>
      </c>
      <c r="G25" s="3"/>
      <c r="H25" s="5" t="s">
        <v>98</v>
      </c>
      <c r="I25" s="5" t="s">
        <v>98</v>
      </c>
      <c r="J25" s="3" t="s">
        <v>90</v>
      </c>
      <c r="K25" s="3" t="s">
        <v>90</v>
      </c>
      <c r="L25" s="3" t="s">
        <v>274</v>
      </c>
      <c r="M25" s="3" t="s">
        <v>90</v>
      </c>
      <c r="N25" s="5">
        <v>1</v>
      </c>
      <c r="O25" s="3"/>
      <c r="P25" s="17">
        <v>44887.481249999997</v>
      </c>
      <c r="Q25" s="3"/>
      <c r="R25" s="17">
        <v>44887.481249999997</v>
      </c>
      <c r="S25" s="3"/>
      <c r="T25" s="3" t="s">
        <v>90</v>
      </c>
    </row>
    <row r="26" spans="1:20" ht="17.399999999999999" thickBot="1" x14ac:dyDescent="0.35">
      <c r="A26" s="3">
        <v>25</v>
      </c>
      <c r="B26" s="3">
        <v>25</v>
      </c>
      <c r="C26" s="4">
        <v>45593</v>
      </c>
      <c r="D26" s="4">
        <v>45623</v>
      </c>
      <c r="E26" s="4">
        <v>45593</v>
      </c>
      <c r="F26" s="4">
        <v>45653</v>
      </c>
      <c r="G26" s="3"/>
      <c r="H26" s="5" t="s">
        <v>98</v>
      </c>
      <c r="I26" s="5" t="s">
        <v>98</v>
      </c>
      <c r="J26" s="3" t="s">
        <v>90</v>
      </c>
      <c r="K26" s="3" t="s">
        <v>90</v>
      </c>
      <c r="L26" s="3" t="s">
        <v>274</v>
      </c>
      <c r="M26" s="3" t="s">
        <v>90</v>
      </c>
      <c r="N26" s="5">
        <v>1</v>
      </c>
      <c r="O26" s="3"/>
      <c r="P26" s="17">
        <v>44887.481249999997</v>
      </c>
      <c r="Q26" s="3"/>
      <c r="R26" s="17">
        <v>44887.481249999997</v>
      </c>
      <c r="S26" s="3"/>
      <c r="T26" s="3" t="s">
        <v>90</v>
      </c>
    </row>
    <row r="27" spans="1:20" ht="17.399999999999999" thickBot="1" x14ac:dyDescent="0.35">
      <c r="A27" s="3">
        <v>26</v>
      </c>
      <c r="B27" s="3">
        <v>26</v>
      </c>
      <c r="C27" s="4">
        <v>45624</v>
      </c>
      <c r="D27" s="4">
        <v>45653</v>
      </c>
      <c r="E27" s="4">
        <v>45624</v>
      </c>
      <c r="F27" s="4">
        <v>45684</v>
      </c>
      <c r="G27" s="3"/>
      <c r="H27" s="5" t="s">
        <v>98</v>
      </c>
      <c r="I27" s="5" t="s">
        <v>98</v>
      </c>
      <c r="J27" s="3" t="s">
        <v>90</v>
      </c>
      <c r="K27" s="3" t="s">
        <v>90</v>
      </c>
      <c r="L27" s="3" t="s">
        <v>274</v>
      </c>
      <c r="M27" s="3" t="s">
        <v>90</v>
      </c>
      <c r="N27" s="5">
        <v>1</v>
      </c>
      <c r="O27" s="3"/>
      <c r="P27" s="17">
        <v>44887.481249999997</v>
      </c>
      <c r="Q27" s="3"/>
      <c r="R27" s="17">
        <v>44887.481249999997</v>
      </c>
      <c r="S27" s="3"/>
      <c r="T27" s="3" t="s">
        <v>90</v>
      </c>
    </row>
    <row r="28" spans="1:20" ht="17.399999999999999" thickBot="1" x14ac:dyDescent="0.35">
      <c r="A28" s="3">
        <v>27</v>
      </c>
      <c r="B28" s="3">
        <v>27</v>
      </c>
      <c r="C28" s="4">
        <v>45654</v>
      </c>
      <c r="D28" s="4">
        <v>45684</v>
      </c>
      <c r="E28" s="4">
        <v>45654</v>
      </c>
      <c r="F28" s="4">
        <v>45714</v>
      </c>
      <c r="G28" s="3"/>
      <c r="H28" s="5" t="s">
        <v>98</v>
      </c>
      <c r="I28" s="5" t="s">
        <v>98</v>
      </c>
      <c r="J28" s="3" t="s">
        <v>90</v>
      </c>
      <c r="K28" s="3" t="s">
        <v>90</v>
      </c>
      <c r="L28" s="3" t="s">
        <v>274</v>
      </c>
      <c r="M28" s="3" t="s">
        <v>90</v>
      </c>
      <c r="N28" s="5">
        <v>1</v>
      </c>
      <c r="O28" s="3"/>
      <c r="P28" s="17">
        <v>44887.481249999997</v>
      </c>
      <c r="Q28" s="3"/>
      <c r="R28" s="17">
        <v>44887.481249999997</v>
      </c>
      <c r="S28" s="3"/>
      <c r="T28" s="3" t="s">
        <v>90</v>
      </c>
    </row>
    <row r="29" spans="1:20" ht="17.399999999999999" thickBot="1" x14ac:dyDescent="0.35">
      <c r="A29" s="3">
        <v>28</v>
      </c>
      <c r="B29" s="3">
        <v>28</v>
      </c>
      <c r="C29" s="4">
        <v>45685</v>
      </c>
      <c r="D29" s="4">
        <v>45715</v>
      </c>
      <c r="E29" s="4">
        <v>45685</v>
      </c>
      <c r="F29" s="4">
        <v>45745</v>
      </c>
      <c r="G29" s="3"/>
      <c r="H29" s="5" t="s">
        <v>98</v>
      </c>
      <c r="I29" s="5" t="s">
        <v>98</v>
      </c>
      <c r="J29" s="3" t="s">
        <v>90</v>
      </c>
      <c r="K29" s="3" t="s">
        <v>90</v>
      </c>
      <c r="L29" s="3" t="s">
        <v>274</v>
      </c>
      <c r="M29" s="3" t="s">
        <v>90</v>
      </c>
      <c r="N29" s="5">
        <v>1</v>
      </c>
      <c r="O29" s="3"/>
      <c r="P29" s="17">
        <v>44887.481249999997</v>
      </c>
      <c r="Q29" s="3"/>
      <c r="R29" s="17">
        <v>44887.481249999997</v>
      </c>
      <c r="S29" s="3"/>
      <c r="T29" s="3" t="s">
        <v>90</v>
      </c>
    </row>
    <row r="30" spans="1:20" ht="17.399999999999999" thickBot="1" x14ac:dyDescent="0.35">
      <c r="A30" s="3">
        <v>29</v>
      </c>
      <c r="B30" s="3">
        <v>29</v>
      </c>
      <c r="C30" s="4">
        <v>45716</v>
      </c>
      <c r="D30" s="4">
        <v>45743</v>
      </c>
      <c r="E30" s="4">
        <v>45716</v>
      </c>
      <c r="F30" s="4">
        <v>45776</v>
      </c>
      <c r="G30" s="3"/>
      <c r="H30" s="5" t="s">
        <v>98</v>
      </c>
      <c r="I30" s="5" t="s">
        <v>98</v>
      </c>
      <c r="J30" s="3" t="s">
        <v>90</v>
      </c>
      <c r="K30" s="3" t="s">
        <v>90</v>
      </c>
      <c r="L30" s="3" t="s">
        <v>274</v>
      </c>
      <c r="M30" s="3" t="s">
        <v>90</v>
      </c>
      <c r="N30" s="5">
        <v>1</v>
      </c>
      <c r="O30" s="3"/>
      <c r="P30" s="17">
        <v>44887.481249999997</v>
      </c>
      <c r="Q30" s="3"/>
      <c r="R30" s="17">
        <v>44887.481249999997</v>
      </c>
      <c r="S30" s="3"/>
      <c r="T30" s="3" t="s">
        <v>90</v>
      </c>
    </row>
    <row r="31" spans="1:20" ht="17.399999999999999" thickBot="1" x14ac:dyDescent="0.35">
      <c r="A31" s="3">
        <v>30</v>
      </c>
      <c r="B31" s="3">
        <v>30</v>
      </c>
      <c r="C31" s="4">
        <v>45744</v>
      </c>
      <c r="D31" s="4">
        <v>45774</v>
      </c>
      <c r="E31" s="4">
        <v>45744</v>
      </c>
      <c r="F31" s="4">
        <v>45804</v>
      </c>
      <c r="G31" s="3"/>
      <c r="H31" s="5" t="s">
        <v>98</v>
      </c>
      <c r="I31" s="5" t="s">
        <v>98</v>
      </c>
      <c r="J31" s="3" t="s">
        <v>90</v>
      </c>
      <c r="K31" s="3" t="s">
        <v>90</v>
      </c>
      <c r="L31" s="3" t="s">
        <v>274</v>
      </c>
      <c r="M31" s="3" t="s">
        <v>90</v>
      </c>
      <c r="N31" s="5">
        <v>1</v>
      </c>
      <c r="O31" s="3"/>
      <c r="P31" s="17">
        <v>44887.481249999997</v>
      </c>
      <c r="Q31" s="3"/>
      <c r="R31" s="17">
        <v>44887.481249999997</v>
      </c>
      <c r="S31" s="3"/>
      <c r="T31" s="3" t="s">
        <v>90</v>
      </c>
    </row>
    <row r="32" spans="1:20" ht="17.399999999999999" thickBot="1" x14ac:dyDescent="0.35">
      <c r="A32" s="3">
        <v>31</v>
      </c>
      <c r="B32" s="3">
        <v>31</v>
      </c>
      <c r="C32" s="4">
        <v>45775</v>
      </c>
      <c r="D32" s="4">
        <v>45804</v>
      </c>
      <c r="E32" s="4">
        <v>45775</v>
      </c>
      <c r="F32" s="4">
        <v>45835</v>
      </c>
      <c r="G32" s="3"/>
      <c r="H32" s="5" t="s">
        <v>98</v>
      </c>
      <c r="I32" s="5" t="s">
        <v>98</v>
      </c>
      <c r="J32" s="3" t="s">
        <v>90</v>
      </c>
      <c r="K32" s="3" t="s">
        <v>90</v>
      </c>
      <c r="L32" s="3" t="s">
        <v>274</v>
      </c>
      <c r="M32" s="3" t="s">
        <v>90</v>
      </c>
      <c r="N32" s="5">
        <v>1</v>
      </c>
      <c r="O32" s="3"/>
      <c r="P32" s="17">
        <v>44887.481249999997</v>
      </c>
      <c r="Q32" s="3"/>
      <c r="R32" s="17">
        <v>44887.481249999997</v>
      </c>
      <c r="S32" s="3"/>
      <c r="T32" s="3" t="s">
        <v>90</v>
      </c>
    </row>
    <row r="33" spans="1:20" ht="17.399999999999999" thickBot="1" x14ac:dyDescent="0.35">
      <c r="A33" s="3">
        <v>32</v>
      </c>
      <c r="B33" s="3">
        <v>32</v>
      </c>
      <c r="C33" s="4">
        <v>45805</v>
      </c>
      <c r="D33" s="4">
        <v>45835</v>
      </c>
      <c r="E33" s="4">
        <v>45805</v>
      </c>
      <c r="F33" s="4">
        <v>45865</v>
      </c>
      <c r="G33" s="3"/>
      <c r="H33" s="5" t="s">
        <v>98</v>
      </c>
      <c r="I33" s="5" t="s">
        <v>98</v>
      </c>
      <c r="J33" s="3" t="s">
        <v>90</v>
      </c>
      <c r="K33" s="3" t="s">
        <v>90</v>
      </c>
      <c r="L33" s="3" t="s">
        <v>274</v>
      </c>
      <c r="M33" s="3" t="s">
        <v>90</v>
      </c>
      <c r="N33" s="5">
        <v>1</v>
      </c>
      <c r="O33" s="3"/>
      <c r="P33" s="17">
        <v>44887.481249999997</v>
      </c>
      <c r="Q33" s="3"/>
      <c r="R33" s="17">
        <v>44887.481249999997</v>
      </c>
      <c r="S33" s="3"/>
      <c r="T33" s="3" t="s">
        <v>90</v>
      </c>
    </row>
    <row r="34" spans="1:20" ht="17.399999999999999" thickBot="1" x14ac:dyDescent="0.35">
      <c r="A34" s="3">
        <v>33</v>
      </c>
      <c r="B34" s="3">
        <v>33</v>
      </c>
      <c r="C34" s="4">
        <v>45836</v>
      </c>
      <c r="D34" s="4">
        <v>45865</v>
      </c>
      <c r="E34" s="4">
        <v>45836</v>
      </c>
      <c r="F34" s="4">
        <v>45896</v>
      </c>
      <c r="G34" s="3"/>
      <c r="H34" s="5" t="s">
        <v>98</v>
      </c>
      <c r="I34" s="5" t="s">
        <v>98</v>
      </c>
      <c r="J34" s="3" t="s">
        <v>90</v>
      </c>
      <c r="K34" s="3" t="s">
        <v>90</v>
      </c>
      <c r="L34" s="3" t="s">
        <v>274</v>
      </c>
      <c r="M34" s="3" t="s">
        <v>90</v>
      </c>
      <c r="N34" s="5">
        <v>1</v>
      </c>
      <c r="O34" s="3"/>
      <c r="P34" s="17">
        <v>44887.481249999997</v>
      </c>
      <c r="Q34" s="3"/>
      <c r="R34" s="17">
        <v>44887.481249999997</v>
      </c>
      <c r="S34" s="3"/>
      <c r="T34" s="3" t="s">
        <v>90</v>
      </c>
    </row>
    <row r="35" spans="1:20" ht="17.399999999999999" thickBot="1" x14ac:dyDescent="0.35">
      <c r="A35" s="3">
        <v>34</v>
      </c>
      <c r="B35" s="3">
        <v>34</v>
      </c>
      <c r="C35" s="4">
        <v>45866</v>
      </c>
      <c r="D35" s="4">
        <v>45896</v>
      </c>
      <c r="E35" s="4">
        <v>45866</v>
      </c>
      <c r="F35" s="4">
        <v>45926</v>
      </c>
      <c r="G35" s="3"/>
      <c r="H35" s="5" t="s">
        <v>98</v>
      </c>
      <c r="I35" s="5" t="s">
        <v>98</v>
      </c>
      <c r="J35" s="3" t="s">
        <v>90</v>
      </c>
      <c r="K35" s="3" t="s">
        <v>90</v>
      </c>
      <c r="L35" s="3" t="s">
        <v>274</v>
      </c>
      <c r="M35" s="3" t="s">
        <v>90</v>
      </c>
      <c r="N35" s="5">
        <v>1</v>
      </c>
      <c r="O35" s="3"/>
      <c r="P35" s="17">
        <v>44887.481249999997</v>
      </c>
      <c r="Q35" s="3"/>
      <c r="R35" s="17">
        <v>44887.481249999997</v>
      </c>
      <c r="S35" s="3"/>
      <c r="T35" s="3" t="s">
        <v>90</v>
      </c>
    </row>
    <row r="36" spans="1:20" ht="17.399999999999999" thickBot="1" x14ac:dyDescent="0.35">
      <c r="A36" s="3">
        <v>35</v>
      </c>
      <c r="B36" s="3">
        <v>35</v>
      </c>
      <c r="C36" s="4">
        <v>45897</v>
      </c>
      <c r="D36" s="4">
        <v>45927</v>
      </c>
      <c r="E36" s="4">
        <v>45897</v>
      </c>
      <c r="F36" s="4">
        <v>45957</v>
      </c>
      <c r="G36" s="3"/>
      <c r="H36" s="5" t="s">
        <v>98</v>
      </c>
      <c r="I36" s="5" t="s">
        <v>98</v>
      </c>
      <c r="J36" s="3" t="s">
        <v>90</v>
      </c>
      <c r="K36" s="3" t="s">
        <v>90</v>
      </c>
      <c r="L36" s="3" t="s">
        <v>274</v>
      </c>
      <c r="M36" s="3" t="s">
        <v>90</v>
      </c>
      <c r="N36" s="5">
        <v>1</v>
      </c>
      <c r="O36" s="3"/>
      <c r="P36" s="17">
        <v>44887.481249999997</v>
      </c>
      <c r="Q36" s="3"/>
      <c r="R36" s="17">
        <v>44887.481249999997</v>
      </c>
      <c r="S36" s="3"/>
      <c r="T36" s="3" t="s">
        <v>90</v>
      </c>
    </row>
    <row r="37" spans="1:20" ht="16.8" x14ac:dyDescent="0.3">
      <c r="A37" s="3">
        <v>36</v>
      </c>
      <c r="B37" s="3">
        <v>36</v>
      </c>
      <c r="C37" s="4">
        <v>45928</v>
      </c>
      <c r="D37" s="4">
        <v>45957</v>
      </c>
      <c r="E37" s="4">
        <v>45928</v>
      </c>
      <c r="F37" s="4">
        <v>45988</v>
      </c>
      <c r="G37" s="3"/>
      <c r="H37" s="5" t="s">
        <v>98</v>
      </c>
      <c r="I37" s="5" t="s">
        <v>98</v>
      </c>
      <c r="J37" s="3" t="s">
        <v>90</v>
      </c>
      <c r="K37" s="3" t="s">
        <v>90</v>
      </c>
      <c r="L37" s="3" t="s">
        <v>274</v>
      </c>
      <c r="M37" s="3" t="s">
        <v>90</v>
      </c>
      <c r="N37" s="5">
        <v>1</v>
      </c>
      <c r="O37" s="3"/>
      <c r="P37" s="17">
        <v>44887.481249999997</v>
      </c>
      <c r="Q37" s="3"/>
      <c r="R37" s="17">
        <v>44887.481249999997</v>
      </c>
      <c r="S37" s="3"/>
      <c r="T37" s="3" t="s">
        <v>90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AB85E-D39A-47EC-8A4A-18781B0E8D3B}">
  <dimension ref="A1:T37"/>
  <sheetViews>
    <sheetView workbookViewId="0">
      <selection activeCell="H2" sqref="H2:H37"/>
    </sheetView>
  </sheetViews>
  <sheetFormatPr defaultRowHeight="14.4" x14ac:dyDescent="0.3"/>
  <cols>
    <col min="6" max="6" width="11" bestFit="1" customWidth="1"/>
  </cols>
  <sheetData>
    <row r="1" spans="1:20" ht="53.4" thickBot="1" x14ac:dyDescent="0.35">
      <c r="A1" s="2" t="s">
        <v>37</v>
      </c>
      <c r="B1" s="2" t="s">
        <v>277</v>
      </c>
      <c r="C1" s="2" t="s">
        <v>278</v>
      </c>
      <c r="D1" s="2" t="s">
        <v>279</v>
      </c>
      <c r="E1" s="2" t="s">
        <v>40</v>
      </c>
      <c r="F1" s="2" t="s">
        <v>42</v>
      </c>
      <c r="G1" s="2" t="s">
        <v>280</v>
      </c>
      <c r="H1" s="2" t="s">
        <v>52</v>
      </c>
      <c r="I1" s="2" t="s">
        <v>281</v>
      </c>
      <c r="J1" s="2" t="s">
        <v>282</v>
      </c>
      <c r="K1" s="2" t="s">
        <v>45</v>
      </c>
      <c r="L1" s="2" t="s">
        <v>283</v>
      </c>
      <c r="M1" s="2" t="s">
        <v>50</v>
      </c>
      <c r="N1" s="2" t="s">
        <v>284</v>
      </c>
      <c r="O1" s="2" t="s">
        <v>285</v>
      </c>
      <c r="P1" s="2" t="s">
        <v>286</v>
      </c>
      <c r="Q1" s="2" t="s">
        <v>287</v>
      </c>
      <c r="R1" s="2" t="s">
        <v>288</v>
      </c>
      <c r="S1" s="2" t="s">
        <v>289</v>
      </c>
      <c r="T1" s="2" t="s">
        <v>48</v>
      </c>
    </row>
    <row r="2" spans="1:20" ht="17.399999999999999" thickBot="1" x14ac:dyDescent="0.35">
      <c r="A2" s="3">
        <v>1</v>
      </c>
      <c r="B2" s="3">
        <v>1</v>
      </c>
      <c r="C2" s="4">
        <v>44862</v>
      </c>
      <c r="D2" s="4">
        <v>44892</v>
      </c>
      <c r="E2" s="4">
        <v>44862</v>
      </c>
      <c r="F2" s="4">
        <v>44922</v>
      </c>
      <c r="G2" s="3"/>
      <c r="H2" s="5" t="s">
        <v>99</v>
      </c>
      <c r="I2" s="5" t="s">
        <v>99</v>
      </c>
      <c r="J2" s="3" t="s">
        <v>90</v>
      </c>
      <c r="K2" s="3" t="s">
        <v>90</v>
      </c>
      <c r="L2" s="3" t="s">
        <v>274</v>
      </c>
      <c r="M2" s="3" t="s">
        <v>90</v>
      </c>
      <c r="N2" s="5">
        <v>1</v>
      </c>
      <c r="O2" s="3"/>
      <c r="P2" s="17">
        <v>44887.481249999997</v>
      </c>
      <c r="Q2" s="3"/>
      <c r="R2" s="17">
        <v>44887.481249999997</v>
      </c>
      <c r="S2" s="3"/>
      <c r="T2" s="3" t="s">
        <v>90</v>
      </c>
    </row>
    <row r="3" spans="1:20" ht="17.399999999999999" thickBot="1" x14ac:dyDescent="0.35">
      <c r="A3" s="3">
        <v>2</v>
      </c>
      <c r="B3" s="3">
        <v>2</v>
      </c>
      <c r="C3" s="4">
        <v>44893</v>
      </c>
      <c r="D3" s="4">
        <v>44922</v>
      </c>
      <c r="E3" s="4">
        <v>44893</v>
      </c>
      <c r="F3" s="4">
        <v>44953</v>
      </c>
      <c r="G3" s="3"/>
      <c r="H3" s="5" t="s">
        <v>99</v>
      </c>
      <c r="I3" s="5" t="s">
        <v>99</v>
      </c>
      <c r="J3" s="3" t="s">
        <v>90</v>
      </c>
      <c r="K3" s="3" t="s">
        <v>90</v>
      </c>
      <c r="L3" s="3" t="s">
        <v>274</v>
      </c>
      <c r="M3" s="3" t="s">
        <v>90</v>
      </c>
      <c r="N3" s="5">
        <v>1</v>
      </c>
      <c r="O3" s="3"/>
      <c r="P3" s="17">
        <v>44887.481249999997</v>
      </c>
      <c r="Q3" s="3"/>
      <c r="R3" s="17">
        <v>44887.481249999997</v>
      </c>
      <c r="S3" s="3"/>
      <c r="T3" s="3" t="s">
        <v>90</v>
      </c>
    </row>
    <row r="4" spans="1:20" ht="17.399999999999999" thickBot="1" x14ac:dyDescent="0.35">
      <c r="A4" s="3">
        <v>3</v>
      </c>
      <c r="B4" s="3">
        <v>3</v>
      </c>
      <c r="C4" s="4">
        <v>44923</v>
      </c>
      <c r="D4" s="4">
        <v>44953</v>
      </c>
      <c r="E4" s="4">
        <v>44923</v>
      </c>
      <c r="F4" s="4">
        <v>44983</v>
      </c>
      <c r="G4" s="3"/>
      <c r="H4" s="5" t="s">
        <v>99</v>
      </c>
      <c r="I4" s="5" t="s">
        <v>99</v>
      </c>
      <c r="J4" s="3" t="s">
        <v>90</v>
      </c>
      <c r="K4" s="3" t="s">
        <v>90</v>
      </c>
      <c r="L4" s="3" t="s">
        <v>274</v>
      </c>
      <c r="M4" s="3" t="s">
        <v>90</v>
      </c>
      <c r="N4" s="5">
        <v>1</v>
      </c>
      <c r="O4" s="3"/>
      <c r="P4" s="17">
        <v>44887.481249999997</v>
      </c>
      <c r="Q4" s="3"/>
      <c r="R4" s="17">
        <v>44887.481249999997</v>
      </c>
      <c r="S4" s="3"/>
      <c r="T4" s="3" t="s">
        <v>90</v>
      </c>
    </row>
    <row r="5" spans="1:20" ht="17.399999999999999" thickBot="1" x14ac:dyDescent="0.35">
      <c r="A5" s="3">
        <v>4</v>
      </c>
      <c r="B5" s="3">
        <v>4</v>
      </c>
      <c r="C5" s="4">
        <v>44954</v>
      </c>
      <c r="D5" s="4">
        <v>44984</v>
      </c>
      <c r="E5" s="4">
        <v>44954</v>
      </c>
      <c r="F5" s="4">
        <v>45014</v>
      </c>
      <c r="G5" s="3"/>
      <c r="H5" s="5" t="s">
        <v>99</v>
      </c>
      <c r="I5" s="5" t="s">
        <v>99</v>
      </c>
      <c r="J5" s="3" t="s">
        <v>90</v>
      </c>
      <c r="K5" s="3" t="s">
        <v>90</v>
      </c>
      <c r="L5" s="3" t="s">
        <v>274</v>
      </c>
      <c r="M5" s="3" t="s">
        <v>90</v>
      </c>
      <c r="N5" s="5">
        <v>1</v>
      </c>
      <c r="O5" s="3"/>
      <c r="P5" s="17">
        <v>44887.481249999997</v>
      </c>
      <c r="Q5" s="3"/>
      <c r="R5" s="17">
        <v>44887.481249999997</v>
      </c>
      <c r="S5" s="3"/>
      <c r="T5" s="3" t="s">
        <v>90</v>
      </c>
    </row>
    <row r="6" spans="1:20" ht="17.399999999999999" thickBot="1" x14ac:dyDescent="0.35">
      <c r="A6" s="3">
        <v>5</v>
      </c>
      <c r="B6" s="3">
        <v>5</v>
      </c>
      <c r="C6" s="4">
        <v>44985</v>
      </c>
      <c r="D6" s="4">
        <v>45012</v>
      </c>
      <c r="E6" s="4">
        <v>44985</v>
      </c>
      <c r="F6" s="4">
        <v>45045</v>
      </c>
      <c r="G6" s="3"/>
      <c r="H6" s="5" t="s">
        <v>99</v>
      </c>
      <c r="I6" s="5" t="s">
        <v>99</v>
      </c>
      <c r="J6" s="3" t="s">
        <v>90</v>
      </c>
      <c r="K6" s="3" t="s">
        <v>90</v>
      </c>
      <c r="L6" s="3" t="s">
        <v>274</v>
      </c>
      <c r="M6" s="3" t="s">
        <v>90</v>
      </c>
      <c r="N6" s="5">
        <v>1</v>
      </c>
      <c r="O6" s="3"/>
      <c r="P6" s="17">
        <v>44887.481249999997</v>
      </c>
      <c r="Q6" s="3"/>
      <c r="R6" s="17">
        <v>44887.481249999997</v>
      </c>
      <c r="S6" s="3"/>
      <c r="T6" s="3" t="s">
        <v>90</v>
      </c>
    </row>
    <row r="7" spans="1:20" ht="17.399999999999999" thickBot="1" x14ac:dyDescent="0.35">
      <c r="A7" s="3">
        <v>6</v>
      </c>
      <c r="B7" s="3">
        <v>6</v>
      </c>
      <c r="C7" s="4">
        <v>45013</v>
      </c>
      <c r="D7" s="4">
        <v>45043</v>
      </c>
      <c r="E7" s="4">
        <v>45013</v>
      </c>
      <c r="F7" s="4">
        <v>45073</v>
      </c>
      <c r="G7" s="3"/>
      <c r="H7" s="5" t="s">
        <v>99</v>
      </c>
      <c r="I7" s="5" t="s">
        <v>99</v>
      </c>
      <c r="J7" s="3" t="s">
        <v>90</v>
      </c>
      <c r="K7" s="3" t="s">
        <v>90</v>
      </c>
      <c r="L7" s="3" t="s">
        <v>274</v>
      </c>
      <c r="M7" s="3" t="s">
        <v>90</v>
      </c>
      <c r="N7" s="5">
        <v>1</v>
      </c>
      <c r="O7" s="3"/>
      <c r="P7" s="17">
        <v>44887.481249999997</v>
      </c>
      <c r="Q7" s="3"/>
      <c r="R7" s="17">
        <v>44887.481249999997</v>
      </c>
      <c r="S7" s="3"/>
      <c r="T7" s="3" t="s">
        <v>90</v>
      </c>
    </row>
    <row r="8" spans="1:20" ht="17.399999999999999" thickBot="1" x14ac:dyDescent="0.35">
      <c r="A8" s="3">
        <v>7</v>
      </c>
      <c r="B8" s="3">
        <v>7</v>
      </c>
      <c r="C8" s="4">
        <v>45044</v>
      </c>
      <c r="D8" s="4">
        <v>45073</v>
      </c>
      <c r="E8" s="4">
        <v>45044</v>
      </c>
      <c r="F8" s="4">
        <v>45104</v>
      </c>
      <c r="G8" s="3"/>
      <c r="H8" s="5" t="s">
        <v>99</v>
      </c>
      <c r="I8" s="5" t="s">
        <v>99</v>
      </c>
      <c r="J8" s="3" t="s">
        <v>90</v>
      </c>
      <c r="K8" s="3" t="s">
        <v>90</v>
      </c>
      <c r="L8" s="3" t="s">
        <v>274</v>
      </c>
      <c r="M8" s="3" t="s">
        <v>90</v>
      </c>
      <c r="N8" s="5">
        <v>1</v>
      </c>
      <c r="O8" s="3"/>
      <c r="P8" s="17">
        <v>44887.481249999997</v>
      </c>
      <c r="Q8" s="3"/>
      <c r="R8" s="17">
        <v>44887.481249999997</v>
      </c>
      <c r="S8" s="3"/>
      <c r="T8" s="3" t="s">
        <v>90</v>
      </c>
    </row>
    <row r="9" spans="1:20" ht="17.399999999999999" thickBot="1" x14ac:dyDescent="0.35">
      <c r="A9" s="3">
        <v>8</v>
      </c>
      <c r="B9" s="3">
        <v>8</v>
      </c>
      <c r="C9" s="4">
        <v>45074</v>
      </c>
      <c r="D9" s="4">
        <v>45104</v>
      </c>
      <c r="E9" s="4">
        <v>45074</v>
      </c>
      <c r="F9" s="4">
        <v>45134</v>
      </c>
      <c r="G9" s="3"/>
      <c r="H9" s="5" t="s">
        <v>99</v>
      </c>
      <c r="I9" s="5" t="s">
        <v>99</v>
      </c>
      <c r="J9" s="3" t="s">
        <v>90</v>
      </c>
      <c r="K9" s="3" t="s">
        <v>90</v>
      </c>
      <c r="L9" s="3" t="s">
        <v>274</v>
      </c>
      <c r="M9" s="3" t="s">
        <v>90</v>
      </c>
      <c r="N9" s="5">
        <v>1</v>
      </c>
      <c r="O9" s="3"/>
      <c r="P9" s="17">
        <v>44887.481249999997</v>
      </c>
      <c r="Q9" s="3"/>
      <c r="R9" s="17">
        <v>44887.481249999997</v>
      </c>
      <c r="S9" s="3"/>
      <c r="T9" s="3" t="s">
        <v>90</v>
      </c>
    </row>
    <row r="10" spans="1:20" ht="17.399999999999999" thickBot="1" x14ac:dyDescent="0.35">
      <c r="A10" s="3">
        <v>9</v>
      </c>
      <c r="B10" s="3">
        <v>9</v>
      </c>
      <c r="C10" s="4">
        <v>45105</v>
      </c>
      <c r="D10" s="4">
        <v>45134</v>
      </c>
      <c r="E10" s="4">
        <v>45105</v>
      </c>
      <c r="F10" s="4">
        <v>45165</v>
      </c>
      <c r="G10" s="3"/>
      <c r="H10" s="5" t="s">
        <v>99</v>
      </c>
      <c r="I10" s="5" t="s">
        <v>99</v>
      </c>
      <c r="J10" s="3" t="s">
        <v>90</v>
      </c>
      <c r="K10" s="3" t="s">
        <v>90</v>
      </c>
      <c r="L10" s="3" t="s">
        <v>274</v>
      </c>
      <c r="M10" s="3" t="s">
        <v>90</v>
      </c>
      <c r="N10" s="5">
        <v>1</v>
      </c>
      <c r="O10" s="3"/>
      <c r="P10" s="17">
        <v>44887.481249999997</v>
      </c>
      <c r="Q10" s="3"/>
      <c r="R10" s="17">
        <v>44887.481249999997</v>
      </c>
      <c r="S10" s="3"/>
      <c r="T10" s="3" t="s">
        <v>90</v>
      </c>
    </row>
    <row r="11" spans="1:20" ht="17.399999999999999" thickBot="1" x14ac:dyDescent="0.35">
      <c r="A11" s="3">
        <v>10</v>
      </c>
      <c r="B11" s="3">
        <v>10</v>
      </c>
      <c r="C11" s="4">
        <v>45135</v>
      </c>
      <c r="D11" s="4">
        <v>45165</v>
      </c>
      <c r="E11" s="4">
        <v>45135</v>
      </c>
      <c r="F11" s="4">
        <v>45195</v>
      </c>
      <c r="G11" s="3"/>
      <c r="H11" s="5" t="s">
        <v>99</v>
      </c>
      <c r="I11" s="5" t="s">
        <v>99</v>
      </c>
      <c r="J11" s="3" t="s">
        <v>90</v>
      </c>
      <c r="K11" s="3" t="s">
        <v>90</v>
      </c>
      <c r="L11" s="3" t="s">
        <v>274</v>
      </c>
      <c r="M11" s="3" t="s">
        <v>90</v>
      </c>
      <c r="N11" s="5">
        <v>1</v>
      </c>
      <c r="O11" s="3"/>
      <c r="P11" s="17">
        <v>44887.481249999997</v>
      </c>
      <c r="Q11" s="3"/>
      <c r="R11" s="17">
        <v>44887.481249999997</v>
      </c>
      <c r="S11" s="3"/>
      <c r="T11" s="3" t="s">
        <v>90</v>
      </c>
    </row>
    <row r="12" spans="1:20" ht="17.399999999999999" thickBot="1" x14ac:dyDescent="0.35">
      <c r="A12" s="3">
        <v>11</v>
      </c>
      <c r="B12" s="3">
        <v>11</v>
      </c>
      <c r="C12" s="4">
        <v>45166</v>
      </c>
      <c r="D12" s="4">
        <v>45196</v>
      </c>
      <c r="E12" s="4">
        <v>45166</v>
      </c>
      <c r="F12" s="4">
        <v>45226</v>
      </c>
      <c r="G12" s="3"/>
      <c r="H12" s="5" t="s">
        <v>99</v>
      </c>
      <c r="I12" s="5" t="s">
        <v>99</v>
      </c>
      <c r="J12" s="3" t="s">
        <v>90</v>
      </c>
      <c r="K12" s="3" t="s">
        <v>90</v>
      </c>
      <c r="L12" s="3" t="s">
        <v>274</v>
      </c>
      <c r="M12" s="3" t="s">
        <v>90</v>
      </c>
      <c r="N12" s="5">
        <v>1</v>
      </c>
      <c r="O12" s="3"/>
      <c r="P12" s="17">
        <v>44887.481249999997</v>
      </c>
      <c r="Q12" s="3"/>
      <c r="R12" s="17">
        <v>44887.481249999997</v>
      </c>
      <c r="S12" s="3"/>
      <c r="T12" s="3" t="s">
        <v>90</v>
      </c>
    </row>
    <row r="13" spans="1:20" ht="17.399999999999999" thickBot="1" x14ac:dyDescent="0.35">
      <c r="A13" s="3">
        <v>12</v>
      </c>
      <c r="B13" s="3">
        <v>12</v>
      </c>
      <c r="C13" s="4">
        <v>45197</v>
      </c>
      <c r="D13" s="4">
        <v>45226</v>
      </c>
      <c r="E13" s="4">
        <v>45197</v>
      </c>
      <c r="F13" s="4">
        <v>45257</v>
      </c>
      <c r="G13" s="3"/>
      <c r="H13" s="5" t="s">
        <v>99</v>
      </c>
      <c r="I13" s="5" t="s">
        <v>99</v>
      </c>
      <c r="J13" s="3" t="s">
        <v>90</v>
      </c>
      <c r="K13" s="3" t="s">
        <v>90</v>
      </c>
      <c r="L13" s="3" t="s">
        <v>274</v>
      </c>
      <c r="M13" s="3" t="s">
        <v>90</v>
      </c>
      <c r="N13" s="5">
        <v>1</v>
      </c>
      <c r="O13" s="3"/>
      <c r="P13" s="17">
        <v>44887.481249999997</v>
      </c>
      <c r="Q13" s="3"/>
      <c r="R13" s="17">
        <v>44887.481249999997</v>
      </c>
      <c r="S13" s="3"/>
      <c r="T13" s="3" t="s">
        <v>90</v>
      </c>
    </row>
    <row r="14" spans="1:20" ht="17.399999999999999" thickBot="1" x14ac:dyDescent="0.35">
      <c r="A14" s="3">
        <v>13</v>
      </c>
      <c r="B14" s="3">
        <v>13</v>
      </c>
      <c r="C14" s="4">
        <v>45227</v>
      </c>
      <c r="D14" s="4">
        <v>45257</v>
      </c>
      <c r="E14" s="4">
        <v>45227</v>
      </c>
      <c r="F14" s="4">
        <v>45287</v>
      </c>
      <c r="G14" s="3"/>
      <c r="H14" s="5" t="s">
        <v>99</v>
      </c>
      <c r="I14" s="5" t="s">
        <v>99</v>
      </c>
      <c r="J14" s="3" t="s">
        <v>90</v>
      </c>
      <c r="K14" s="3" t="s">
        <v>90</v>
      </c>
      <c r="L14" s="3" t="s">
        <v>274</v>
      </c>
      <c r="M14" s="3" t="s">
        <v>90</v>
      </c>
      <c r="N14" s="5">
        <v>1</v>
      </c>
      <c r="O14" s="3"/>
      <c r="P14" s="17">
        <v>44887.481249999997</v>
      </c>
      <c r="Q14" s="3"/>
      <c r="R14" s="17">
        <v>44887.481249999997</v>
      </c>
      <c r="S14" s="3"/>
      <c r="T14" s="3" t="s">
        <v>90</v>
      </c>
    </row>
    <row r="15" spans="1:20" ht="17.399999999999999" thickBot="1" x14ac:dyDescent="0.35">
      <c r="A15" s="3">
        <v>14</v>
      </c>
      <c r="B15" s="3">
        <v>14</v>
      </c>
      <c r="C15" s="4">
        <v>45258</v>
      </c>
      <c r="D15" s="4">
        <v>45287</v>
      </c>
      <c r="E15" s="4">
        <v>45258</v>
      </c>
      <c r="F15" s="4">
        <v>45318</v>
      </c>
      <c r="G15" s="3"/>
      <c r="H15" s="5" t="s">
        <v>99</v>
      </c>
      <c r="I15" s="5" t="s">
        <v>99</v>
      </c>
      <c r="J15" s="3" t="s">
        <v>90</v>
      </c>
      <c r="K15" s="3" t="s">
        <v>90</v>
      </c>
      <c r="L15" s="3" t="s">
        <v>274</v>
      </c>
      <c r="M15" s="3" t="s">
        <v>90</v>
      </c>
      <c r="N15" s="5">
        <v>1</v>
      </c>
      <c r="O15" s="3"/>
      <c r="P15" s="17">
        <v>44887.481249999997</v>
      </c>
      <c r="Q15" s="3"/>
      <c r="R15" s="17">
        <v>44887.481249999997</v>
      </c>
      <c r="S15" s="3"/>
      <c r="T15" s="3" t="s">
        <v>90</v>
      </c>
    </row>
    <row r="16" spans="1:20" ht="17.399999999999999" thickBot="1" x14ac:dyDescent="0.35">
      <c r="A16" s="3">
        <v>15</v>
      </c>
      <c r="B16" s="3">
        <v>15</v>
      </c>
      <c r="C16" s="4">
        <v>45288</v>
      </c>
      <c r="D16" s="4">
        <v>45318</v>
      </c>
      <c r="E16" s="4">
        <v>45288</v>
      </c>
      <c r="F16" s="4">
        <v>45348</v>
      </c>
      <c r="G16" s="3"/>
      <c r="H16" s="5" t="s">
        <v>99</v>
      </c>
      <c r="I16" s="5" t="s">
        <v>99</v>
      </c>
      <c r="J16" s="3" t="s">
        <v>90</v>
      </c>
      <c r="K16" s="3" t="s">
        <v>90</v>
      </c>
      <c r="L16" s="3" t="s">
        <v>274</v>
      </c>
      <c r="M16" s="3" t="s">
        <v>90</v>
      </c>
      <c r="N16" s="5">
        <v>1</v>
      </c>
      <c r="O16" s="3"/>
      <c r="P16" s="17">
        <v>44887.481249999997</v>
      </c>
      <c r="Q16" s="3"/>
      <c r="R16" s="17">
        <v>44887.481249999997</v>
      </c>
      <c r="S16" s="3"/>
      <c r="T16" s="3" t="s">
        <v>90</v>
      </c>
    </row>
    <row r="17" spans="1:20" ht="17.399999999999999" thickBot="1" x14ac:dyDescent="0.35">
      <c r="A17" s="3">
        <v>16</v>
      </c>
      <c r="B17" s="3">
        <v>16</v>
      </c>
      <c r="C17" s="4">
        <v>45319</v>
      </c>
      <c r="D17" s="4">
        <v>45349</v>
      </c>
      <c r="E17" s="4">
        <v>45319</v>
      </c>
      <c r="F17" s="4">
        <v>45379</v>
      </c>
      <c r="G17" s="3"/>
      <c r="H17" s="5" t="s">
        <v>99</v>
      </c>
      <c r="I17" s="5" t="s">
        <v>99</v>
      </c>
      <c r="J17" s="3" t="s">
        <v>90</v>
      </c>
      <c r="K17" s="3" t="s">
        <v>90</v>
      </c>
      <c r="L17" s="3" t="s">
        <v>274</v>
      </c>
      <c r="M17" s="3" t="s">
        <v>90</v>
      </c>
      <c r="N17" s="5">
        <v>1</v>
      </c>
      <c r="O17" s="3"/>
      <c r="P17" s="17">
        <v>44887.481249999997</v>
      </c>
      <c r="Q17" s="3"/>
      <c r="R17" s="17">
        <v>44887.481249999997</v>
      </c>
      <c r="S17" s="3"/>
      <c r="T17" s="3" t="s">
        <v>90</v>
      </c>
    </row>
    <row r="18" spans="1:20" ht="17.399999999999999" thickBot="1" x14ac:dyDescent="0.35">
      <c r="A18" s="3">
        <v>17</v>
      </c>
      <c r="B18" s="3">
        <v>17</v>
      </c>
      <c r="C18" s="4">
        <v>45350</v>
      </c>
      <c r="D18" s="4">
        <v>45378</v>
      </c>
      <c r="E18" s="4">
        <v>45350</v>
      </c>
      <c r="F18" s="4">
        <v>45410</v>
      </c>
      <c r="G18" s="3"/>
      <c r="H18" s="5" t="s">
        <v>99</v>
      </c>
      <c r="I18" s="5" t="s">
        <v>99</v>
      </c>
      <c r="J18" s="3" t="s">
        <v>90</v>
      </c>
      <c r="K18" s="3" t="s">
        <v>90</v>
      </c>
      <c r="L18" s="3" t="s">
        <v>274</v>
      </c>
      <c r="M18" s="3" t="s">
        <v>90</v>
      </c>
      <c r="N18" s="5">
        <v>1</v>
      </c>
      <c r="O18" s="3"/>
      <c r="P18" s="17">
        <v>44887.481249999997</v>
      </c>
      <c r="Q18" s="3"/>
      <c r="R18" s="17">
        <v>44887.481249999997</v>
      </c>
      <c r="S18" s="3"/>
      <c r="T18" s="3" t="s">
        <v>90</v>
      </c>
    </row>
    <row r="19" spans="1:20" ht="17.399999999999999" thickBot="1" x14ac:dyDescent="0.35">
      <c r="A19" s="3">
        <v>18</v>
      </c>
      <c r="B19" s="3">
        <v>18</v>
      </c>
      <c r="C19" s="4">
        <v>45379</v>
      </c>
      <c r="D19" s="4">
        <v>45409</v>
      </c>
      <c r="E19" s="4">
        <v>45379</v>
      </c>
      <c r="F19" s="4">
        <v>45439</v>
      </c>
      <c r="G19" s="3"/>
      <c r="H19" s="5" t="s">
        <v>99</v>
      </c>
      <c r="I19" s="5" t="s">
        <v>99</v>
      </c>
      <c r="J19" s="3" t="s">
        <v>90</v>
      </c>
      <c r="K19" s="3" t="s">
        <v>90</v>
      </c>
      <c r="L19" s="3" t="s">
        <v>274</v>
      </c>
      <c r="M19" s="3" t="s">
        <v>90</v>
      </c>
      <c r="N19" s="5">
        <v>1</v>
      </c>
      <c r="O19" s="3"/>
      <c r="P19" s="17">
        <v>44887.481249999997</v>
      </c>
      <c r="Q19" s="3"/>
      <c r="R19" s="17">
        <v>44887.481249999997</v>
      </c>
      <c r="S19" s="3"/>
      <c r="T19" s="3" t="s">
        <v>90</v>
      </c>
    </row>
    <row r="20" spans="1:20" ht="17.399999999999999" thickBot="1" x14ac:dyDescent="0.35">
      <c r="A20" s="3">
        <v>19</v>
      </c>
      <c r="B20" s="3">
        <v>19</v>
      </c>
      <c r="C20" s="4">
        <v>45410</v>
      </c>
      <c r="D20" s="4">
        <v>45439</v>
      </c>
      <c r="E20" s="4">
        <v>45410</v>
      </c>
      <c r="F20" s="4">
        <v>45470</v>
      </c>
      <c r="G20" s="3"/>
      <c r="H20" s="5" t="s">
        <v>99</v>
      </c>
      <c r="I20" s="5" t="s">
        <v>99</v>
      </c>
      <c r="J20" s="3" t="s">
        <v>90</v>
      </c>
      <c r="K20" s="3" t="s">
        <v>90</v>
      </c>
      <c r="L20" s="3" t="s">
        <v>274</v>
      </c>
      <c r="M20" s="3" t="s">
        <v>90</v>
      </c>
      <c r="N20" s="5">
        <v>1</v>
      </c>
      <c r="O20" s="3"/>
      <c r="P20" s="17">
        <v>44887.481249999997</v>
      </c>
      <c r="Q20" s="3"/>
      <c r="R20" s="17">
        <v>44887.481249999997</v>
      </c>
      <c r="S20" s="3"/>
      <c r="T20" s="3" t="s">
        <v>90</v>
      </c>
    </row>
    <row r="21" spans="1:20" ht="17.399999999999999" thickBot="1" x14ac:dyDescent="0.35">
      <c r="A21" s="3">
        <v>20</v>
      </c>
      <c r="B21" s="3">
        <v>20</v>
      </c>
      <c r="C21" s="4">
        <v>45440</v>
      </c>
      <c r="D21" s="4">
        <v>45470</v>
      </c>
      <c r="E21" s="4">
        <v>45440</v>
      </c>
      <c r="F21" s="4">
        <v>45500</v>
      </c>
      <c r="G21" s="3"/>
      <c r="H21" s="5" t="s">
        <v>99</v>
      </c>
      <c r="I21" s="5" t="s">
        <v>99</v>
      </c>
      <c r="J21" s="3" t="s">
        <v>90</v>
      </c>
      <c r="K21" s="3" t="s">
        <v>90</v>
      </c>
      <c r="L21" s="3" t="s">
        <v>274</v>
      </c>
      <c r="M21" s="3" t="s">
        <v>90</v>
      </c>
      <c r="N21" s="5">
        <v>1</v>
      </c>
      <c r="O21" s="3"/>
      <c r="P21" s="17">
        <v>44887.481249999997</v>
      </c>
      <c r="Q21" s="3"/>
      <c r="R21" s="17">
        <v>44887.481249999997</v>
      </c>
      <c r="S21" s="3"/>
      <c r="T21" s="3" t="s">
        <v>90</v>
      </c>
    </row>
    <row r="22" spans="1:20" ht="17.399999999999999" thickBot="1" x14ac:dyDescent="0.35">
      <c r="A22" s="3">
        <v>21</v>
      </c>
      <c r="B22" s="3">
        <v>21</v>
      </c>
      <c r="C22" s="4">
        <v>45471</v>
      </c>
      <c r="D22" s="4">
        <v>45500</v>
      </c>
      <c r="E22" s="4">
        <v>45471</v>
      </c>
      <c r="F22" s="4">
        <v>45531</v>
      </c>
      <c r="G22" s="3"/>
      <c r="H22" s="5" t="s">
        <v>99</v>
      </c>
      <c r="I22" s="5" t="s">
        <v>99</v>
      </c>
      <c r="J22" s="3" t="s">
        <v>90</v>
      </c>
      <c r="K22" s="3" t="s">
        <v>90</v>
      </c>
      <c r="L22" s="3" t="s">
        <v>274</v>
      </c>
      <c r="M22" s="3" t="s">
        <v>90</v>
      </c>
      <c r="N22" s="5">
        <v>1</v>
      </c>
      <c r="O22" s="3"/>
      <c r="P22" s="17">
        <v>44887.481249999997</v>
      </c>
      <c r="Q22" s="3"/>
      <c r="R22" s="17">
        <v>44887.481249999997</v>
      </c>
      <c r="S22" s="3"/>
      <c r="T22" s="3" t="s">
        <v>90</v>
      </c>
    </row>
    <row r="23" spans="1:20" ht="17.399999999999999" thickBot="1" x14ac:dyDescent="0.35">
      <c r="A23" s="3">
        <v>22</v>
      </c>
      <c r="B23" s="3">
        <v>22</v>
      </c>
      <c r="C23" s="4">
        <v>45501</v>
      </c>
      <c r="D23" s="4">
        <v>45531</v>
      </c>
      <c r="E23" s="4">
        <v>45501</v>
      </c>
      <c r="F23" s="4">
        <v>45561</v>
      </c>
      <c r="G23" s="3"/>
      <c r="H23" s="5" t="s">
        <v>99</v>
      </c>
      <c r="I23" s="5" t="s">
        <v>99</v>
      </c>
      <c r="J23" s="3" t="s">
        <v>90</v>
      </c>
      <c r="K23" s="3" t="s">
        <v>90</v>
      </c>
      <c r="L23" s="3" t="s">
        <v>274</v>
      </c>
      <c r="M23" s="3" t="s">
        <v>90</v>
      </c>
      <c r="N23" s="5">
        <v>1</v>
      </c>
      <c r="O23" s="3"/>
      <c r="P23" s="17">
        <v>44887.481249999997</v>
      </c>
      <c r="Q23" s="3"/>
      <c r="R23" s="17">
        <v>44887.481249999997</v>
      </c>
      <c r="S23" s="3"/>
      <c r="T23" s="3" t="s">
        <v>90</v>
      </c>
    </row>
    <row r="24" spans="1:20" ht="17.399999999999999" thickBot="1" x14ac:dyDescent="0.35">
      <c r="A24" s="3">
        <v>23</v>
      </c>
      <c r="B24" s="3">
        <v>23</v>
      </c>
      <c r="C24" s="4">
        <v>45532</v>
      </c>
      <c r="D24" s="4">
        <v>45562</v>
      </c>
      <c r="E24" s="4">
        <v>45532</v>
      </c>
      <c r="F24" s="4">
        <v>45592</v>
      </c>
      <c r="G24" s="3"/>
      <c r="H24" s="5" t="s">
        <v>99</v>
      </c>
      <c r="I24" s="5" t="s">
        <v>99</v>
      </c>
      <c r="J24" s="3" t="s">
        <v>90</v>
      </c>
      <c r="K24" s="3" t="s">
        <v>90</v>
      </c>
      <c r="L24" s="3" t="s">
        <v>274</v>
      </c>
      <c r="M24" s="3" t="s">
        <v>90</v>
      </c>
      <c r="N24" s="5">
        <v>1</v>
      </c>
      <c r="O24" s="3"/>
      <c r="P24" s="17">
        <v>44887.481249999997</v>
      </c>
      <c r="Q24" s="3"/>
      <c r="R24" s="17">
        <v>44887.481249999997</v>
      </c>
      <c r="S24" s="3"/>
      <c r="T24" s="3" t="s">
        <v>90</v>
      </c>
    </row>
    <row r="25" spans="1:20" ht="17.399999999999999" thickBot="1" x14ac:dyDescent="0.35">
      <c r="A25" s="3">
        <v>24</v>
      </c>
      <c r="B25" s="3">
        <v>24</v>
      </c>
      <c r="C25" s="4">
        <v>45563</v>
      </c>
      <c r="D25" s="4">
        <v>45592</v>
      </c>
      <c r="E25" s="4">
        <v>45563</v>
      </c>
      <c r="F25" s="4">
        <v>45623</v>
      </c>
      <c r="G25" s="3"/>
      <c r="H25" s="5" t="s">
        <v>99</v>
      </c>
      <c r="I25" s="5" t="s">
        <v>99</v>
      </c>
      <c r="J25" s="3" t="s">
        <v>90</v>
      </c>
      <c r="K25" s="3" t="s">
        <v>90</v>
      </c>
      <c r="L25" s="3" t="s">
        <v>274</v>
      </c>
      <c r="M25" s="3" t="s">
        <v>90</v>
      </c>
      <c r="N25" s="5">
        <v>1</v>
      </c>
      <c r="O25" s="3"/>
      <c r="P25" s="17">
        <v>44887.481249999997</v>
      </c>
      <c r="Q25" s="3"/>
      <c r="R25" s="17">
        <v>44887.481249999997</v>
      </c>
      <c r="S25" s="3"/>
      <c r="T25" s="3" t="s">
        <v>90</v>
      </c>
    </row>
    <row r="26" spans="1:20" ht="17.399999999999999" thickBot="1" x14ac:dyDescent="0.35">
      <c r="A26" s="3">
        <v>25</v>
      </c>
      <c r="B26" s="3">
        <v>25</v>
      </c>
      <c r="C26" s="4">
        <v>45593</v>
      </c>
      <c r="D26" s="4">
        <v>45623</v>
      </c>
      <c r="E26" s="4">
        <v>45593</v>
      </c>
      <c r="F26" s="4">
        <v>45653</v>
      </c>
      <c r="G26" s="3"/>
      <c r="H26" s="5" t="s">
        <v>99</v>
      </c>
      <c r="I26" s="5" t="s">
        <v>99</v>
      </c>
      <c r="J26" s="3" t="s">
        <v>90</v>
      </c>
      <c r="K26" s="3" t="s">
        <v>90</v>
      </c>
      <c r="L26" s="3" t="s">
        <v>274</v>
      </c>
      <c r="M26" s="3" t="s">
        <v>90</v>
      </c>
      <c r="N26" s="5">
        <v>1</v>
      </c>
      <c r="O26" s="3"/>
      <c r="P26" s="17">
        <v>44887.481249999997</v>
      </c>
      <c r="Q26" s="3"/>
      <c r="R26" s="17">
        <v>44887.481249999997</v>
      </c>
      <c r="S26" s="3"/>
      <c r="T26" s="3" t="s">
        <v>90</v>
      </c>
    </row>
    <row r="27" spans="1:20" ht="17.399999999999999" thickBot="1" x14ac:dyDescent="0.35">
      <c r="A27" s="3">
        <v>26</v>
      </c>
      <c r="B27" s="3">
        <v>26</v>
      </c>
      <c r="C27" s="4">
        <v>45624</v>
      </c>
      <c r="D27" s="4">
        <v>45653</v>
      </c>
      <c r="E27" s="4">
        <v>45624</v>
      </c>
      <c r="F27" s="4">
        <v>45684</v>
      </c>
      <c r="G27" s="3"/>
      <c r="H27" s="5" t="s">
        <v>99</v>
      </c>
      <c r="I27" s="5" t="s">
        <v>99</v>
      </c>
      <c r="J27" s="3" t="s">
        <v>90</v>
      </c>
      <c r="K27" s="3" t="s">
        <v>90</v>
      </c>
      <c r="L27" s="3" t="s">
        <v>274</v>
      </c>
      <c r="M27" s="3" t="s">
        <v>90</v>
      </c>
      <c r="N27" s="5">
        <v>1</v>
      </c>
      <c r="O27" s="3"/>
      <c r="P27" s="17">
        <v>44887.481249999997</v>
      </c>
      <c r="Q27" s="3"/>
      <c r="R27" s="17">
        <v>44887.481249999997</v>
      </c>
      <c r="S27" s="3"/>
      <c r="T27" s="3" t="s">
        <v>90</v>
      </c>
    </row>
    <row r="28" spans="1:20" ht="17.399999999999999" thickBot="1" x14ac:dyDescent="0.35">
      <c r="A28" s="3">
        <v>27</v>
      </c>
      <c r="B28" s="3">
        <v>27</v>
      </c>
      <c r="C28" s="4">
        <v>45654</v>
      </c>
      <c r="D28" s="4">
        <v>45684</v>
      </c>
      <c r="E28" s="4">
        <v>45654</v>
      </c>
      <c r="F28" s="4">
        <v>45714</v>
      </c>
      <c r="G28" s="3"/>
      <c r="H28" s="5" t="s">
        <v>99</v>
      </c>
      <c r="I28" s="5" t="s">
        <v>99</v>
      </c>
      <c r="J28" s="3" t="s">
        <v>90</v>
      </c>
      <c r="K28" s="3" t="s">
        <v>90</v>
      </c>
      <c r="L28" s="3" t="s">
        <v>274</v>
      </c>
      <c r="M28" s="3" t="s">
        <v>90</v>
      </c>
      <c r="N28" s="5">
        <v>1</v>
      </c>
      <c r="O28" s="3"/>
      <c r="P28" s="17">
        <v>44887.481249999997</v>
      </c>
      <c r="Q28" s="3"/>
      <c r="R28" s="17">
        <v>44887.481249999997</v>
      </c>
      <c r="S28" s="3"/>
      <c r="T28" s="3" t="s">
        <v>90</v>
      </c>
    </row>
    <row r="29" spans="1:20" ht="17.399999999999999" thickBot="1" x14ac:dyDescent="0.35">
      <c r="A29" s="3">
        <v>28</v>
      </c>
      <c r="B29" s="3">
        <v>28</v>
      </c>
      <c r="C29" s="4">
        <v>45685</v>
      </c>
      <c r="D29" s="4">
        <v>45715</v>
      </c>
      <c r="E29" s="4">
        <v>45685</v>
      </c>
      <c r="F29" s="4">
        <v>45745</v>
      </c>
      <c r="G29" s="3"/>
      <c r="H29" s="5" t="s">
        <v>99</v>
      </c>
      <c r="I29" s="5" t="s">
        <v>99</v>
      </c>
      <c r="J29" s="3" t="s">
        <v>90</v>
      </c>
      <c r="K29" s="3" t="s">
        <v>90</v>
      </c>
      <c r="L29" s="3" t="s">
        <v>274</v>
      </c>
      <c r="M29" s="3" t="s">
        <v>90</v>
      </c>
      <c r="N29" s="5">
        <v>1</v>
      </c>
      <c r="O29" s="3"/>
      <c r="P29" s="17">
        <v>44887.481249999997</v>
      </c>
      <c r="Q29" s="3"/>
      <c r="R29" s="17">
        <v>44887.481249999997</v>
      </c>
      <c r="S29" s="3"/>
      <c r="T29" s="3" t="s">
        <v>90</v>
      </c>
    </row>
    <row r="30" spans="1:20" ht="17.399999999999999" thickBot="1" x14ac:dyDescent="0.35">
      <c r="A30" s="3">
        <v>29</v>
      </c>
      <c r="B30" s="3">
        <v>29</v>
      </c>
      <c r="C30" s="4">
        <v>45716</v>
      </c>
      <c r="D30" s="4">
        <v>45743</v>
      </c>
      <c r="E30" s="4">
        <v>45716</v>
      </c>
      <c r="F30" s="4">
        <v>45776</v>
      </c>
      <c r="G30" s="3"/>
      <c r="H30" s="5" t="s">
        <v>99</v>
      </c>
      <c r="I30" s="5" t="s">
        <v>99</v>
      </c>
      <c r="J30" s="3" t="s">
        <v>90</v>
      </c>
      <c r="K30" s="3" t="s">
        <v>90</v>
      </c>
      <c r="L30" s="3" t="s">
        <v>274</v>
      </c>
      <c r="M30" s="3" t="s">
        <v>90</v>
      </c>
      <c r="N30" s="5">
        <v>1</v>
      </c>
      <c r="O30" s="3"/>
      <c r="P30" s="17">
        <v>44887.481249999997</v>
      </c>
      <c r="Q30" s="3"/>
      <c r="R30" s="17">
        <v>44887.481249999997</v>
      </c>
      <c r="S30" s="3"/>
      <c r="T30" s="3" t="s">
        <v>90</v>
      </c>
    </row>
    <row r="31" spans="1:20" ht="17.399999999999999" thickBot="1" x14ac:dyDescent="0.35">
      <c r="A31" s="3">
        <v>30</v>
      </c>
      <c r="B31" s="3">
        <v>30</v>
      </c>
      <c r="C31" s="4">
        <v>45744</v>
      </c>
      <c r="D31" s="4">
        <v>45774</v>
      </c>
      <c r="E31" s="4">
        <v>45744</v>
      </c>
      <c r="F31" s="4">
        <v>45804</v>
      </c>
      <c r="G31" s="3"/>
      <c r="H31" s="5" t="s">
        <v>99</v>
      </c>
      <c r="I31" s="5" t="s">
        <v>99</v>
      </c>
      <c r="J31" s="3" t="s">
        <v>90</v>
      </c>
      <c r="K31" s="3" t="s">
        <v>90</v>
      </c>
      <c r="L31" s="3" t="s">
        <v>274</v>
      </c>
      <c r="M31" s="3" t="s">
        <v>90</v>
      </c>
      <c r="N31" s="5">
        <v>1</v>
      </c>
      <c r="O31" s="3"/>
      <c r="P31" s="17">
        <v>44887.481249999997</v>
      </c>
      <c r="Q31" s="3"/>
      <c r="R31" s="17">
        <v>44887.481249999997</v>
      </c>
      <c r="S31" s="3"/>
      <c r="T31" s="3" t="s">
        <v>90</v>
      </c>
    </row>
    <row r="32" spans="1:20" ht="17.399999999999999" thickBot="1" x14ac:dyDescent="0.35">
      <c r="A32" s="3">
        <v>31</v>
      </c>
      <c r="B32" s="3">
        <v>31</v>
      </c>
      <c r="C32" s="4">
        <v>45775</v>
      </c>
      <c r="D32" s="4">
        <v>45804</v>
      </c>
      <c r="E32" s="4">
        <v>45775</v>
      </c>
      <c r="F32" s="4">
        <v>45835</v>
      </c>
      <c r="G32" s="3"/>
      <c r="H32" s="5" t="s">
        <v>99</v>
      </c>
      <c r="I32" s="5" t="s">
        <v>99</v>
      </c>
      <c r="J32" s="3" t="s">
        <v>90</v>
      </c>
      <c r="K32" s="3" t="s">
        <v>90</v>
      </c>
      <c r="L32" s="3" t="s">
        <v>274</v>
      </c>
      <c r="M32" s="3" t="s">
        <v>90</v>
      </c>
      <c r="N32" s="5">
        <v>1</v>
      </c>
      <c r="O32" s="3"/>
      <c r="P32" s="17">
        <v>44887.481249999997</v>
      </c>
      <c r="Q32" s="3"/>
      <c r="R32" s="17">
        <v>44887.481249999997</v>
      </c>
      <c r="S32" s="3"/>
      <c r="T32" s="3" t="s">
        <v>90</v>
      </c>
    </row>
    <row r="33" spans="1:20" ht="17.399999999999999" thickBot="1" x14ac:dyDescent="0.35">
      <c r="A33" s="3">
        <v>32</v>
      </c>
      <c r="B33" s="3">
        <v>32</v>
      </c>
      <c r="C33" s="4">
        <v>45805</v>
      </c>
      <c r="D33" s="4">
        <v>45835</v>
      </c>
      <c r="E33" s="4">
        <v>45805</v>
      </c>
      <c r="F33" s="4">
        <v>45865</v>
      </c>
      <c r="G33" s="3"/>
      <c r="H33" s="5" t="s">
        <v>99</v>
      </c>
      <c r="I33" s="5" t="s">
        <v>99</v>
      </c>
      <c r="J33" s="3" t="s">
        <v>90</v>
      </c>
      <c r="K33" s="3" t="s">
        <v>90</v>
      </c>
      <c r="L33" s="3" t="s">
        <v>274</v>
      </c>
      <c r="M33" s="3" t="s">
        <v>90</v>
      </c>
      <c r="N33" s="5">
        <v>1</v>
      </c>
      <c r="O33" s="3"/>
      <c r="P33" s="17">
        <v>44887.481249999997</v>
      </c>
      <c r="Q33" s="3"/>
      <c r="R33" s="17">
        <v>44887.481249999997</v>
      </c>
      <c r="S33" s="3"/>
      <c r="T33" s="3" t="s">
        <v>90</v>
      </c>
    </row>
    <row r="34" spans="1:20" ht="17.399999999999999" thickBot="1" x14ac:dyDescent="0.35">
      <c r="A34" s="3">
        <v>33</v>
      </c>
      <c r="B34" s="3">
        <v>33</v>
      </c>
      <c r="C34" s="4">
        <v>45836</v>
      </c>
      <c r="D34" s="4">
        <v>45865</v>
      </c>
      <c r="E34" s="4">
        <v>45836</v>
      </c>
      <c r="F34" s="4">
        <v>45896</v>
      </c>
      <c r="G34" s="3"/>
      <c r="H34" s="5" t="s">
        <v>99</v>
      </c>
      <c r="I34" s="5" t="s">
        <v>99</v>
      </c>
      <c r="J34" s="3" t="s">
        <v>90</v>
      </c>
      <c r="K34" s="3" t="s">
        <v>90</v>
      </c>
      <c r="L34" s="3" t="s">
        <v>274</v>
      </c>
      <c r="M34" s="3" t="s">
        <v>90</v>
      </c>
      <c r="N34" s="5">
        <v>1</v>
      </c>
      <c r="O34" s="3"/>
      <c r="P34" s="17">
        <v>44887.481249999997</v>
      </c>
      <c r="Q34" s="3"/>
      <c r="R34" s="17">
        <v>44887.481249999997</v>
      </c>
      <c r="S34" s="3"/>
      <c r="T34" s="3" t="s">
        <v>90</v>
      </c>
    </row>
    <row r="35" spans="1:20" ht="17.399999999999999" thickBot="1" x14ac:dyDescent="0.35">
      <c r="A35" s="3">
        <v>34</v>
      </c>
      <c r="B35" s="3">
        <v>34</v>
      </c>
      <c r="C35" s="4">
        <v>45866</v>
      </c>
      <c r="D35" s="4">
        <v>45896</v>
      </c>
      <c r="E35" s="4">
        <v>45866</v>
      </c>
      <c r="F35" s="4">
        <v>45926</v>
      </c>
      <c r="G35" s="3"/>
      <c r="H35" s="5" t="s">
        <v>99</v>
      </c>
      <c r="I35" s="5" t="s">
        <v>99</v>
      </c>
      <c r="J35" s="3" t="s">
        <v>90</v>
      </c>
      <c r="K35" s="3" t="s">
        <v>90</v>
      </c>
      <c r="L35" s="3" t="s">
        <v>274</v>
      </c>
      <c r="M35" s="3" t="s">
        <v>90</v>
      </c>
      <c r="N35" s="5">
        <v>1</v>
      </c>
      <c r="O35" s="3"/>
      <c r="P35" s="17">
        <v>44887.481249999997</v>
      </c>
      <c r="Q35" s="3"/>
      <c r="R35" s="17">
        <v>44887.481249999997</v>
      </c>
      <c r="S35" s="3"/>
      <c r="T35" s="3" t="s">
        <v>90</v>
      </c>
    </row>
    <row r="36" spans="1:20" ht="17.399999999999999" thickBot="1" x14ac:dyDescent="0.35">
      <c r="A36" s="3">
        <v>35</v>
      </c>
      <c r="B36" s="3">
        <v>35</v>
      </c>
      <c r="C36" s="4">
        <v>45897</v>
      </c>
      <c r="D36" s="4">
        <v>45927</v>
      </c>
      <c r="E36" s="4">
        <v>45897</v>
      </c>
      <c r="F36" s="4">
        <v>45957</v>
      </c>
      <c r="G36" s="3"/>
      <c r="H36" s="5" t="s">
        <v>99</v>
      </c>
      <c r="I36" s="5" t="s">
        <v>99</v>
      </c>
      <c r="J36" s="3" t="s">
        <v>90</v>
      </c>
      <c r="K36" s="3" t="s">
        <v>90</v>
      </c>
      <c r="L36" s="3" t="s">
        <v>274</v>
      </c>
      <c r="M36" s="3" t="s">
        <v>90</v>
      </c>
      <c r="N36" s="5">
        <v>1</v>
      </c>
      <c r="O36" s="3"/>
      <c r="P36" s="17">
        <v>44887.481249999997</v>
      </c>
      <c r="Q36" s="3"/>
      <c r="R36" s="17">
        <v>44887.481249999997</v>
      </c>
      <c r="S36" s="3"/>
      <c r="T36" s="3" t="s">
        <v>90</v>
      </c>
    </row>
    <row r="37" spans="1:20" ht="16.8" x14ac:dyDescent="0.3">
      <c r="A37" s="3">
        <v>36</v>
      </c>
      <c r="B37" s="3">
        <v>36</v>
      </c>
      <c r="C37" s="4">
        <v>45928</v>
      </c>
      <c r="D37" s="4">
        <v>45957</v>
      </c>
      <c r="E37" s="4">
        <v>45928</v>
      </c>
      <c r="F37" s="4">
        <v>45988</v>
      </c>
      <c r="G37" s="3"/>
      <c r="H37" s="5" t="s">
        <v>99</v>
      </c>
      <c r="I37" s="5" t="s">
        <v>99</v>
      </c>
      <c r="J37" s="3" t="s">
        <v>90</v>
      </c>
      <c r="K37" s="3" t="s">
        <v>90</v>
      </c>
      <c r="L37" s="3" t="s">
        <v>274</v>
      </c>
      <c r="M37" s="3" t="s">
        <v>90</v>
      </c>
      <c r="N37" s="5">
        <v>1</v>
      </c>
      <c r="O37" s="3"/>
      <c r="P37" s="17">
        <v>44887.481249999997</v>
      </c>
      <c r="Q37" s="3"/>
      <c r="R37" s="17">
        <v>44887.481249999997</v>
      </c>
      <c r="S37" s="3"/>
      <c r="T37" s="3" t="s">
        <v>90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EF68-7AA9-46AE-8932-FDE373841DC2}">
  <dimension ref="A1:T37"/>
  <sheetViews>
    <sheetView workbookViewId="0">
      <selection activeCell="H2" sqref="H2:H37"/>
    </sheetView>
  </sheetViews>
  <sheetFormatPr defaultRowHeight="14.4" x14ac:dyDescent="0.3"/>
  <sheetData>
    <row r="1" spans="1:20" ht="53.4" thickBot="1" x14ac:dyDescent="0.35">
      <c r="A1" s="2" t="s">
        <v>37</v>
      </c>
      <c r="B1" s="2" t="s">
        <v>277</v>
      </c>
      <c r="C1" s="2" t="s">
        <v>278</v>
      </c>
      <c r="D1" s="2" t="s">
        <v>279</v>
      </c>
      <c r="E1" s="2" t="s">
        <v>40</v>
      </c>
      <c r="F1" s="2" t="s">
        <v>42</v>
      </c>
      <c r="G1" s="2" t="s">
        <v>280</v>
      </c>
      <c r="H1" s="2" t="s">
        <v>52</v>
      </c>
      <c r="I1" s="2" t="s">
        <v>281</v>
      </c>
      <c r="J1" s="2" t="s">
        <v>282</v>
      </c>
      <c r="K1" s="2" t="s">
        <v>45</v>
      </c>
      <c r="L1" s="2" t="s">
        <v>283</v>
      </c>
      <c r="M1" s="2" t="s">
        <v>50</v>
      </c>
      <c r="N1" s="2" t="s">
        <v>284</v>
      </c>
      <c r="O1" s="2" t="s">
        <v>285</v>
      </c>
      <c r="P1" s="2" t="s">
        <v>286</v>
      </c>
      <c r="Q1" s="2" t="s">
        <v>287</v>
      </c>
      <c r="R1" s="2" t="s">
        <v>288</v>
      </c>
      <c r="S1" s="2" t="s">
        <v>289</v>
      </c>
      <c r="T1" s="2" t="s">
        <v>48</v>
      </c>
    </row>
    <row r="2" spans="1:20" ht="17.399999999999999" thickBot="1" x14ac:dyDescent="0.35">
      <c r="A2" s="3">
        <v>1</v>
      </c>
      <c r="B2" s="3">
        <v>1</v>
      </c>
      <c r="C2" s="4">
        <v>44862</v>
      </c>
      <c r="D2" s="4">
        <v>44892</v>
      </c>
      <c r="E2" s="4">
        <v>44862</v>
      </c>
      <c r="F2" s="4">
        <v>44922</v>
      </c>
      <c r="G2" s="3"/>
      <c r="H2" s="5">
        <v>41.67</v>
      </c>
      <c r="I2" s="5">
        <v>41.67</v>
      </c>
      <c r="J2" s="3" t="s">
        <v>90</v>
      </c>
      <c r="K2" s="3" t="s">
        <v>90</v>
      </c>
      <c r="L2" s="3" t="s">
        <v>274</v>
      </c>
      <c r="M2" s="3" t="s">
        <v>90</v>
      </c>
      <c r="N2" s="5">
        <v>1</v>
      </c>
      <c r="O2" s="3"/>
      <c r="P2" s="17">
        <v>44887.481249999997</v>
      </c>
      <c r="Q2" s="3"/>
      <c r="R2" s="17">
        <v>44887.481249999997</v>
      </c>
      <c r="S2" s="3"/>
      <c r="T2" s="3" t="s">
        <v>90</v>
      </c>
    </row>
    <row r="3" spans="1:20" ht="17.399999999999999" thickBot="1" x14ac:dyDescent="0.35">
      <c r="A3" s="3">
        <v>2</v>
      </c>
      <c r="B3" s="3">
        <v>2</v>
      </c>
      <c r="C3" s="4">
        <v>44893</v>
      </c>
      <c r="D3" s="4">
        <v>44922</v>
      </c>
      <c r="E3" s="4">
        <v>44893</v>
      </c>
      <c r="F3" s="4">
        <v>44953</v>
      </c>
      <c r="G3" s="3"/>
      <c r="H3" s="5">
        <v>41.67</v>
      </c>
      <c r="I3" s="5">
        <v>41.67</v>
      </c>
      <c r="J3" s="3" t="s">
        <v>90</v>
      </c>
      <c r="K3" s="3" t="s">
        <v>90</v>
      </c>
      <c r="L3" s="3" t="s">
        <v>274</v>
      </c>
      <c r="M3" s="3" t="s">
        <v>90</v>
      </c>
      <c r="N3" s="5">
        <v>1</v>
      </c>
      <c r="O3" s="3"/>
      <c r="P3" s="17">
        <v>44887.481249999997</v>
      </c>
      <c r="Q3" s="3"/>
      <c r="R3" s="17">
        <v>44887.481249999997</v>
      </c>
      <c r="S3" s="3"/>
      <c r="T3" s="3" t="s">
        <v>90</v>
      </c>
    </row>
    <row r="4" spans="1:20" ht="17.399999999999999" thickBot="1" x14ac:dyDescent="0.35">
      <c r="A4" s="3">
        <v>3</v>
      </c>
      <c r="B4" s="3">
        <v>3</v>
      </c>
      <c r="C4" s="4">
        <v>44923</v>
      </c>
      <c r="D4" s="4">
        <v>44953</v>
      </c>
      <c r="E4" s="4">
        <v>44923</v>
      </c>
      <c r="F4" s="4">
        <v>44983</v>
      </c>
      <c r="G4" s="3"/>
      <c r="H4" s="5">
        <v>41.67</v>
      </c>
      <c r="I4" s="5">
        <v>41.67</v>
      </c>
      <c r="J4" s="3" t="s">
        <v>90</v>
      </c>
      <c r="K4" s="3" t="s">
        <v>90</v>
      </c>
      <c r="L4" s="3" t="s">
        <v>274</v>
      </c>
      <c r="M4" s="3" t="s">
        <v>90</v>
      </c>
      <c r="N4" s="5">
        <v>1</v>
      </c>
      <c r="O4" s="3"/>
      <c r="P4" s="17">
        <v>44887.481249999997</v>
      </c>
      <c r="Q4" s="3"/>
      <c r="R4" s="17">
        <v>44887.481249999997</v>
      </c>
      <c r="S4" s="3"/>
      <c r="T4" s="3" t="s">
        <v>90</v>
      </c>
    </row>
    <row r="5" spans="1:20" ht="17.399999999999999" thickBot="1" x14ac:dyDescent="0.35">
      <c r="A5" s="3">
        <v>4</v>
      </c>
      <c r="B5" s="3">
        <v>4</v>
      </c>
      <c r="C5" s="4">
        <v>44954</v>
      </c>
      <c r="D5" s="4">
        <v>44984</v>
      </c>
      <c r="E5" s="4">
        <v>44954</v>
      </c>
      <c r="F5" s="4">
        <v>45014</v>
      </c>
      <c r="G5" s="3"/>
      <c r="H5" s="5">
        <v>41.67</v>
      </c>
      <c r="I5" s="5">
        <v>41.67</v>
      </c>
      <c r="J5" s="3" t="s">
        <v>90</v>
      </c>
      <c r="K5" s="3" t="s">
        <v>90</v>
      </c>
      <c r="L5" s="3" t="s">
        <v>274</v>
      </c>
      <c r="M5" s="3" t="s">
        <v>90</v>
      </c>
      <c r="N5" s="5">
        <v>1</v>
      </c>
      <c r="O5" s="3"/>
      <c r="P5" s="17">
        <v>44887.481249999997</v>
      </c>
      <c r="Q5" s="3"/>
      <c r="R5" s="17">
        <v>44887.481249999997</v>
      </c>
      <c r="S5" s="3"/>
      <c r="T5" s="3" t="s">
        <v>90</v>
      </c>
    </row>
    <row r="6" spans="1:20" ht="17.399999999999999" thickBot="1" x14ac:dyDescent="0.35">
      <c r="A6" s="3">
        <v>5</v>
      </c>
      <c r="B6" s="3">
        <v>5</v>
      </c>
      <c r="C6" s="4">
        <v>44985</v>
      </c>
      <c r="D6" s="4">
        <v>45012</v>
      </c>
      <c r="E6" s="4">
        <v>44985</v>
      </c>
      <c r="F6" s="4">
        <v>45045</v>
      </c>
      <c r="G6" s="3"/>
      <c r="H6" s="5">
        <v>41.67</v>
      </c>
      <c r="I6" s="5">
        <v>41.67</v>
      </c>
      <c r="J6" s="3" t="s">
        <v>90</v>
      </c>
      <c r="K6" s="3" t="s">
        <v>90</v>
      </c>
      <c r="L6" s="3" t="s">
        <v>274</v>
      </c>
      <c r="M6" s="3" t="s">
        <v>90</v>
      </c>
      <c r="N6" s="5">
        <v>1</v>
      </c>
      <c r="O6" s="3"/>
      <c r="P6" s="17">
        <v>44887.481249999997</v>
      </c>
      <c r="Q6" s="3"/>
      <c r="R6" s="17">
        <v>44887.481249999997</v>
      </c>
      <c r="S6" s="3"/>
      <c r="T6" s="3" t="s">
        <v>90</v>
      </c>
    </row>
    <row r="7" spans="1:20" ht="17.399999999999999" thickBot="1" x14ac:dyDescent="0.35">
      <c r="A7" s="3">
        <v>6</v>
      </c>
      <c r="B7" s="3">
        <v>6</v>
      </c>
      <c r="C7" s="4">
        <v>45013</v>
      </c>
      <c r="D7" s="4">
        <v>45043</v>
      </c>
      <c r="E7" s="4">
        <v>45013</v>
      </c>
      <c r="F7" s="4">
        <v>45073</v>
      </c>
      <c r="G7" s="3"/>
      <c r="H7" s="5">
        <v>41.67</v>
      </c>
      <c r="I7" s="5">
        <v>41.67</v>
      </c>
      <c r="J7" s="3" t="s">
        <v>90</v>
      </c>
      <c r="K7" s="3" t="s">
        <v>90</v>
      </c>
      <c r="L7" s="3" t="s">
        <v>274</v>
      </c>
      <c r="M7" s="3" t="s">
        <v>90</v>
      </c>
      <c r="N7" s="5">
        <v>1</v>
      </c>
      <c r="O7" s="3"/>
      <c r="P7" s="17">
        <v>44887.481249999997</v>
      </c>
      <c r="Q7" s="3"/>
      <c r="R7" s="17">
        <v>44887.481249999997</v>
      </c>
      <c r="S7" s="3"/>
      <c r="T7" s="3" t="s">
        <v>90</v>
      </c>
    </row>
    <row r="8" spans="1:20" ht="17.399999999999999" thickBot="1" x14ac:dyDescent="0.35">
      <c r="A8" s="3">
        <v>7</v>
      </c>
      <c r="B8" s="3">
        <v>7</v>
      </c>
      <c r="C8" s="4">
        <v>45044</v>
      </c>
      <c r="D8" s="4">
        <v>45073</v>
      </c>
      <c r="E8" s="4">
        <v>45044</v>
      </c>
      <c r="F8" s="4">
        <v>45104</v>
      </c>
      <c r="G8" s="3"/>
      <c r="H8" s="5">
        <v>41.67</v>
      </c>
      <c r="I8" s="5">
        <v>41.67</v>
      </c>
      <c r="J8" s="3" t="s">
        <v>90</v>
      </c>
      <c r="K8" s="3" t="s">
        <v>90</v>
      </c>
      <c r="L8" s="3" t="s">
        <v>274</v>
      </c>
      <c r="M8" s="3" t="s">
        <v>90</v>
      </c>
      <c r="N8" s="5">
        <v>1</v>
      </c>
      <c r="O8" s="3"/>
      <c r="P8" s="17">
        <v>44887.481249999997</v>
      </c>
      <c r="Q8" s="3"/>
      <c r="R8" s="17">
        <v>44887.481249999997</v>
      </c>
      <c r="S8" s="3"/>
      <c r="T8" s="3" t="s">
        <v>90</v>
      </c>
    </row>
    <row r="9" spans="1:20" ht="17.399999999999999" thickBot="1" x14ac:dyDescent="0.35">
      <c r="A9" s="3">
        <v>8</v>
      </c>
      <c r="B9" s="3">
        <v>8</v>
      </c>
      <c r="C9" s="4">
        <v>45074</v>
      </c>
      <c r="D9" s="4">
        <v>45104</v>
      </c>
      <c r="E9" s="4">
        <v>45074</v>
      </c>
      <c r="F9" s="4">
        <v>45134</v>
      </c>
      <c r="G9" s="3"/>
      <c r="H9" s="5">
        <v>41.67</v>
      </c>
      <c r="I9" s="5">
        <v>41.67</v>
      </c>
      <c r="J9" s="3" t="s">
        <v>90</v>
      </c>
      <c r="K9" s="3" t="s">
        <v>90</v>
      </c>
      <c r="L9" s="3" t="s">
        <v>274</v>
      </c>
      <c r="M9" s="3" t="s">
        <v>90</v>
      </c>
      <c r="N9" s="5">
        <v>1</v>
      </c>
      <c r="O9" s="3"/>
      <c r="P9" s="17">
        <v>44887.481249999997</v>
      </c>
      <c r="Q9" s="3"/>
      <c r="R9" s="17">
        <v>44887.481249999997</v>
      </c>
      <c r="S9" s="3"/>
      <c r="T9" s="3" t="s">
        <v>90</v>
      </c>
    </row>
    <row r="10" spans="1:20" ht="17.399999999999999" thickBot="1" x14ac:dyDescent="0.35">
      <c r="A10" s="3">
        <v>9</v>
      </c>
      <c r="B10" s="3">
        <v>9</v>
      </c>
      <c r="C10" s="4">
        <v>45105</v>
      </c>
      <c r="D10" s="4">
        <v>45134</v>
      </c>
      <c r="E10" s="4">
        <v>45105</v>
      </c>
      <c r="F10" s="4">
        <v>45165</v>
      </c>
      <c r="G10" s="3"/>
      <c r="H10" s="5">
        <v>41.67</v>
      </c>
      <c r="I10" s="5">
        <v>41.67</v>
      </c>
      <c r="J10" s="3" t="s">
        <v>90</v>
      </c>
      <c r="K10" s="3" t="s">
        <v>90</v>
      </c>
      <c r="L10" s="3" t="s">
        <v>274</v>
      </c>
      <c r="M10" s="3" t="s">
        <v>90</v>
      </c>
      <c r="N10" s="5">
        <v>1</v>
      </c>
      <c r="O10" s="3"/>
      <c r="P10" s="17">
        <v>44887.481249999997</v>
      </c>
      <c r="Q10" s="3"/>
      <c r="R10" s="17">
        <v>44887.481249999997</v>
      </c>
      <c r="S10" s="3"/>
      <c r="T10" s="3" t="s">
        <v>90</v>
      </c>
    </row>
    <row r="11" spans="1:20" ht="17.399999999999999" thickBot="1" x14ac:dyDescent="0.35">
      <c r="A11" s="3">
        <v>10</v>
      </c>
      <c r="B11" s="3">
        <v>10</v>
      </c>
      <c r="C11" s="4">
        <v>45135</v>
      </c>
      <c r="D11" s="4">
        <v>45165</v>
      </c>
      <c r="E11" s="4">
        <v>45135</v>
      </c>
      <c r="F11" s="4">
        <v>45195</v>
      </c>
      <c r="G11" s="3"/>
      <c r="H11" s="5">
        <v>41.67</v>
      </c>
      <c r="I11" s="5">
        <v>41.67</v>
      </c>
      <c r="J11" s="3" t="s">
        <v>90</v>
      </c>
      <c r="K11" s="3" t="s">
        <v>90</v>
      </c>
      <c r="L11" s="3" t="s">
        <v>274</v>
      </c>
      <c r="M11" s="3" t="s">
        <v>90</v>
      </c>
      <c r="N11" s="5">
        <v>1</v>
      </c>
      <c r="O11" s="3"/>
      <c r="P11" s="17">
        <v>44887.481249999997</v>
      </c>
      <c r="Q11" s="3"/>
      <c r="R11" s="17">
        <v>44887.481249999997</v>
      </c>
      <c r="S11" s="3"/>
      <c r="T11" s="3" t="s">
        <v>90</v>
      </c>
    </row>
    <row r="12" spans="1:20" ht="17.399999999999999" thickBot="1" x14ac:dyDescent="0.35">
      <c r="A12" s="3">
        <v>11</v>
      </c>
      <c r="B12" s="3">
        <v>11</v>
      </c>
      <c r="C12" s="4">
        <v>45166</v>
      </c>
      <c r="D12" s="4">
        <v>45196</v>
      </c>
      <c r="E12" s="4">
        <v>45166</v>
      </c>
      <c r="F12" s="4">
        <v>45226</v>
      </c>
      <c r="G12" s="3"/>
      <c r="H12" s="5">
        <v>41.67</v>
      </c>
      <c r="I12" s="5">
        <v>41.67</v>
      </c>
      <c r="J12" s="3" t="s">
        <v>90</v>
      </c>
      <c r="K12" s="3" t="s">
        <v>90</v>
      </c>
      <c r="L12" s="3" t="s">
        <v>274</v>
      </c>
      <c r="M12" s="3" t="s">
        <v>90</v>
      </c>
      <c r="N12" s="5">
        <v>1</v>
      </c>
      <c r="O12" s="3"/>
      <c r="P12" s="17">
        <v>44887.481249999997</v>
      </c>
      <c r="Q12" s="3"/>
      <c r="R12" s="17">
        <v>44887.481249999997</v>
      </c>
      <c r="S12" s="3"/>
      <c r="T12" s="3" t="s">
        <v>90</v>
      </c>
    </row>
    <row r="13" spans="1:20" ht="17.399999999999999" thickBot="1" x14ac:dyDescent="0.35">
      <c r="A13" s="3">
        <v>12</v>
      </c>
      <c r="B13" s="3">
        <v>12</v>
      </c>
      <c r="C13" s="4">
        <v>45197</v>
      </c>
      <c r="D13" s="4">
        <v>45226</v>
      </c>
      <c r="E13" s="4">
        <v>45197</v>
      </c>
      <c r="F13" s="4">
        <v>45257</v>
      </c>
      <c r="G13" s="3"/>
      <c r="H13" s="5">
        <v>41.67</v>
      </c>
      <c r="I13" s="5">
        <v>41.67</v>
      </c>
      <c r="J13" s="3" t="s">
        <v>90</v>
      </c>
      <c r="K13" s="3" t="s">
        <v>90</v>
      </c>
      <c r="L13" s="3" t="s">
        <v>274</v>
      </c>
      <c r="M13" s="3" t="s">
        <v>90</v>
      </c>
      <c r="N13" s="5">
        <v>1</v>
      </c>
      <c r="O13" s="3"/>
      <c r="P13" s="17">
        <v>44887.481249999997</v>
      </c>
      <c r="Q13" s="3"/>
      <c r="R13" s="17">
        <v>44887.481249999997</v>
      </c>
      <c r="S13" s="3"/>
      <c r="T13" s="3" t="s">
        <v>90</v>
      </c>
    </row>
    <row r="14" spans="1:20" ht="17.399999999999999" thickBot="1" x14ac:dyDescent="0.35">
      <c r="A14" s="3">
        <v>13</v>
      </c>
      <c r="B14" s="3">
        <v>13</v>
      </c>
      <c r="C14" s="4">
        <v>45227</v>
      </c>
      <c r="D14" s="4">
        <v>45257</v>
      </c>
      <c r="E14" s="4">
        <v>45227</v>
      </c>
      <c r="F14" s="4">
        <v>45287</v>
      </c>
      <c r="G14" s="3"/>
      <c r="H14" s="5">
        <v>41.67</v>
      </c>
      <c r="I14" s="5">
        <v>41.67</v>
      </c>
      <c r="J14" s="3" t="s">
        <v>90</v>
      </c>
      <c r="K14" s="3" t="s">
        <v>90</v>
      </c>
      <c r="L14" s="3" t="s">
        <v>274</v>
      </c>
      <c r="M14" s="3" t="s">
        <v>90</v>
      </c>
      <c r="N14" s="5">
        <v>1</v>
      </c>
      <c r="O14" s="3"/>
      <c r="P14" s="17">
        <v>44887.481249999997</v>
      </c>
      <c r="Q14" s="3"/>
      <c r="R14" s="17">
        <v>44887.481249999997</v>
      </c>
      <c r="S14" s="3"/>
      <c r="T14" s="3" t="s">
        <v>90</v>
      </c>
    </row>
    <row r="15" spans="1:20" ht="17.399999999999999" thickBot="1" x14ac:dyDescent="0.35">
      <c r="A15" s="3">
        <v>14</v>
      </c>
      <c r="B15" s="3">
        <v>14</v>
      </c>
      <c r="C15" s="4">
        <v>45258</v>
      </c>
      <c r="D15" s="4">
        <v>45287</v>
      </c>
      <c r="E15" s="4">
        <v>45258</v>
      </c>
      <c r="F15" s="4">
        <v>45318</v>
      </c>
      <c r="G15" s="3"/>
      <c r="H15" s="5">
        <v>41.67</v>
      </c>
      <c r="I15" s="5">
        <v>41.67</v>
      </c>
      <c r="J15" s="3" t="s">
        <v>90</v>
      </c>
      <c r="K15" s="3" t="s">
        <v>90</v>
      </c>
      <c r="L15" s="3" t="s">
        <v>274</v>
      </c>
      <c r="M15" s="3" t="s">
        <v>90</v>
      </c>
      <c r="N15" s="5">
        <v>1</v>
      </c>
      <c r="O15" s="3"/>
      <c r="P15" s="17">
        <v>44887.481249999997</v>
      </c>
      <c r="Q15" s="3"/>
      <c r="R15" s="17">
        <v>44887.481249999997</v>
      </c>
      <c r="S15" s="3"/>
      <c r="T15" s="3" t="s">
        <v>90</v>
      </c>
    </row>
    <row r="16" spans="1:20" ht="17.399999999999999" thickBot="1" x14ac:dyDescent="0.35">
      <c r="A16" s="3">
        <v>15</v>
      </c>
      <c r="B16" s="3">
        <v>15</v>
      </c>
      <c r="C16" s="4">
        <v>45288</v>
      </c>
      <c r="D16" s="4">
        <v>45318</v>
      </c>
      <c r="E16" s="4">
        <v>45288</v>
      </c>
      <c r="F16" s="4">
        <v>45348</v>
      </c>
      <c r="G16" s="3"/>
      <c r="H16" s="5">
        <v>41.67</v>
      </c>
      <c r="I16" s="5">
        <v>41.67</v>
      </c>
      <c r="J16" s="3" t="s">
        <v>90</v>
      </c>
      <c r="K16" s="3" t="s">
        <v>90</v>
      </c>
      <c r="L16" s="3" t="s">
        <v>274</v>
      </c>
      <c r="M16" s="3" t="s">
        <v>90</v>
      </c>
      <c r="N16" s="5">
        <v>1</v>
      </c>
      <c r="O16" s="3"/>
      <c r="P16" s="17">
        <v>44887.481249999997</v>
      </c>
      <c r="Q16" s="3"/>
      <c r="R16" s="17">
        <v>44887.481249999997</v>
      </c>
      <c r="S16" s="3"/>
      <c r="T16" s="3" t="s">
        <v>90</v>
      </c>
    </row>
    <row r="17" spans="1:20" ht="17.399999999999999" thickBot="1" x14ac:dyDescent="0.35">
      <c r="A17" s="3">
        <v>16</v>
      </c>
      <c r="B17" s="3">
        <v>16</v>
      </c>
      <c r="C17" s="4">
        <v>45319</v>
      </c>
      <c r="D17" s="4">
        <v>45349</v>
      </c>
      <c r="E17" s="4">
        <v>45319</v>
      </c>
      <c r="F17" s="4">
        <v>45379</v>
      </c>
      <c r="G17" s="3"/>
      <c r="H17" s="5">
        <v>41.67</v>
      </c>
      <c r="I17" s="5">
        <v>41.67</v>
      </c>
      <c r="J17" s="3" t="s">
        <v>90</v>
      </c>
      <c r="K17" s="3" t="s">
        <v>90</v>
      </c>
      <c r="L17" s="3" t="s">
        <v>274</v>
      </c>
      <c r="M17" s="3" t="s">
        <v>90</v>
      </c>
      <c r="N17" s="5">
        <v>1</v>
      </c>
      <c r="O17" s="3"/>
      <c r="P17" s="17">
        <v>44887.481249999997</v>
      </c>
      <c r="Q17" s="3"/>
      <c r="R17" s="17">
        <v>44887.481249999997</v>
      </c>
      <c r="S17" s="3"/>
      <c r="T17" s="3" t="s">
        <v>90</v>
      </c>
    </row>
    <row r="18" spans="1:20" ht="17.399999999999999" thickBot="1" x14ac:dyDescent="0.35">
      <c r="A18" s="3">
        <v>17</v>
      </c>
      <c r="B18" s="3">
        <v>17</v>
      </c>
      <c r="C18" s="4">
        <v>45350</v>
      </c>
      <c r="D18" s="4">
        <v>45378</v>
      </c>
      <c r="E18" s="4">
        <v>45350</v>
      </c>
      <c r="F18" s="4">
        <v>45410</v>
      </c>
      <c r="G18" s="3"/>
      <c r="H18" s="5">
        <v>41.67</v>
      </c>
      <c r="I18" s="5">
        <v>41.67</v>
      </c>
      <c r="J18" s="3" t="s">
        <v>90</v>
      </c>
      <c r="K18" s="3" t="s">
        <v>90</v>
      </c>
      <c r="L18" s="3" t="s">
        <v>274</v>
      </c>
      <c r="M18" s="3" t="s">
        <v>90</v>
      </c>
      <c r="N18" s="5">
        <v>1</v>
      </c>
      <c r="O18" s="3"/>
      <c r="P18" s="17">
        <v>44887.481249999997</v>
      </c>
      <c r="Q18" s="3"/>
      <c r="R18" s="17">
        <v>44887.481249999997</v>
      </c>
      <c r="S18" s="3"/>
      <c r="T18" s="3" t="s">
        <v>90</v>
      </c>
    </row>
    <row r="19" spans="1:20" ht="17.399999999999999" thickBot="1" x14ac:dyDescent="0.35">
      <c r="A19" s="3">
        <v>18</v>
      </c>
      <c r="B19" s="3">
        <v>18</v>
      </c>
      <c r="C19" s="4">
        <v>45379</v>
      </c>
      <c r="D19" s="4">
        <v>45409</v>
      </c>
      <c r="E19" s="4">
        <v>45379</v>
      </c>
      <c r="F19" s="4">
        <v>45439</v>
      </c>
      <c r="G19" s="3"/>
      <c r="H19" s="5">
        <v>41.67</v>
      </c>
      <c r="I19" s="5">
        <v>41.67</v>
      </c>
      <c r="J19" s="3" t="s">
        <v>90</v>
      </c>
      <c r="K19" s="3" t="s">
        <v>90</v>
      </c>
      <c r="L19" s="3" t="s">
        <v>274</v>
      </c>
      <c r="M19" s="3" t="s">
        <v>90</v>
      </c>
      <c r="N19" s="5">
        <v>1</v>
      </c>
      <c r="O19" s="3"/>
      <c r="P19" s="17">
        <v>44887.481249999997</v>
      </c>
      <c r="Q19" s="3"/>
      <c r="R19" s="17">
        <v>44887.481249999997</v>
      </c>
      <c r="S19" s="3"/>
      <c r="T19" s="3" t="s">
        <v>90</v>
      </c>
    </row>
    <row r="20" spans="1:20" ht="17.399999999999999" thickBot="1" x14ac:dyDescent="0.35">
      <c r="A20" s="3">
        <v>19</v>
      </c>
      <c r="B20" s="3">
        <v>19</v>
      </c>
      <c r="C20" s="4">
        <v>45410</v>
      </c>
      <c r="D20" s="4">
        <v>45439</v>
      </c>
      <c r="E20" s="4">
        <v>45410</v>
      </c>
      <c r="F20" s="4">
        <v>45470</v>
      </c>
      <c r="G20" s="3"/>
      <c r="H20" s="5">
        <v>41.67</v>
      </c>
      <c r="I20" s="5">
        <v>41.67</v>
      </c>
      <c r="J20" s="3" t="s">
        <v>90</v>
      </c>
      <c r="K20" s="3" t="s">
        <v>90</v>
      </c>
      <c r="L20" s="3" t="s">
        <v>274</v>
      </c>
      <c r="M20" s="3" t="s">
        <v>90</v>
      </c>
      <c r="N20" s="5">
        <v>1</v>
      </c>
      <c r="O20" s="3"/>
      <c r="P20" s="17">
        <v>44887.481249999997</v>
      </c>
      <c r="Q20" s="3"/>
      <c r="R20" s="17">
        <v>44887.481249999997</v>
      </c>
      <c r="S20" s="3"/>
      <c r="T20" s="3" t="s">
        <v>90</v>
      </c>
    </row>
    <row r="21" spans="1:20" ht="17.399999999999999" thickBot="1" x14ac:dyDescent="0.35">
      <c r="A21" s="3">
        <v>20</v>
      </c>
      <c r="B21" s="3">
        <v>20</v>
      </c>
      <c r="C21" s="4">
        <v>45440</v>
      </c>
      <c r="D21" s="4">
        <v>45470</v>
      </c>
      <c r="E21" s="4">
        <v>45440</v>
      </c>
      <c r="F21" s="4">
        <v>45500</v>
      </c>
      <c r="G21" s="3"/>
      <c r="H21" s="5">
        <v>41.67</v>
      </c>
      <c r="I21" s="5">
        <v>41.67</v>
      </c>
      <c r="J21" s="3" t="s">
        <v>90</v>
      </c>
      <c r="K21" s="3" t="s">
        <v>90</v>
      </c>
      <c r="L21" s="3" t="s">
        <v>274</v>
      </c>
      <c r="M21" s="3" t="s">
        <v>90</v>
      </c>
      <c r="N21" s="5">
        <v>1</v>
      </c>
      <c r="O21" s="3"/>
      <c r="P21" s="17">
        <v>44887.481249999997</v>
      </c>
      <c r="Q21" s="3"/>
      <c r="R21" s="17">
        <v>44887.481249999997</v>
      </c>
      <c r="S21" s="3"/>
      <c r="T21" s="3" t="s">
        <v>90</v>
      </c>
    </row>
    <row r="22" spans="1:20" ht="17.399999999999999" thickBot="1" x14ac:dyDescent="0.35">
      <c r="A22" s="3">
        <v>21</v>
      </c>
      <c r="B22" s="3">
        <v>21</v>
      </c>
      <c r="C22" s="4">
        <v>45471</v>
      </c>
      <c r="D22" s="4">
        <v>45500</v>
      </c>
      <c r="E22" s="4">
        <v>45471</v>
      </c>
      <c r="F22" s="4">
        <v>45531</v>
      </c>
      <c r="G22" s="3"/>
      <c r="H22" s="5">
        <v>41.67</v>
      </c>
      <c r="I22" s="5">
        <v>41.67</v>
      </c>
      <c r="J22" s="3" t="s">
        <v>90</v>
      </c>
      <c r="K22" s="3" t="s">
        <v>90</v>
      </c>
      <c r="L22" s="3" t="s">
        <v>274</v>
      </c>
      <c r="M22" s="3" t="s">
        <v>90</v>
      </c>
      <c r="N22" s="5">
        <v>1</v>
      </c>
      <c r="O22" s="3"/>
      <c r="P22" s="17">
        <v>44887.481249999997</v>
      </c>
      <c r="Q22" s="3"/>
      <c r="R22" s="17">
        <v>44887.481249999997</v>
      </c>
      <c r="S22" s="3"/>
      <c r="T22" s="3" t="s">
        <v>90</v>
      </c>
    </row>
    <row r="23" spans="1:20" ht="17.399999999999999" thickBot="1" x14ac:dyDescent="0.35">
      <c r="A23" s="3">
        <v>22</v>
      </c>
      <c r="B23" s="3">
        <v>22</v>
      </c>
      <c r="C23" s="4">
        <v>45501</v>
      </c>
      <c r="D23" s="4">
        <v>45531</v>
      </c>
      <c r="E23" s="4">
        <v>45501</v>
      </c>
      <c r="F23" s="4">
        <v>45561</v>
      </c>
      <c r="G23" s="3"/>
      <c r="H23" s="5">
        <v>41.67</v>
      </c>
      <c r="I23" s="5">
        <v>41.67</v>
      </c>
      <c r="J23" s="3" t="s">
        <v>90</v>
      </c>
      <c r="K23" s="3" t="s">
        <v>90</v>
      </c>
      <c r="L23" s="3" t="s">
        <v>274</v>
      </c>
      <c r="M23" s="3" t="s">
        <v>90</v>
      </c>
      <c r="N23" s="5">
        <v>1</v>
      </c>
      <c r="O23" s="3"/>
      <c r="P23" s="17">
        <v>44887.481249999997</v>
      </c>
      <c r="Q23" s="3"/>
      <c r="R23" s="17">
        <v>44887.481249999997</v>
      </c>
      <c r="S23" s="3"/>
      <c r="T23" s="3" t="s">
        <v>90</v>
      </c>
    </row>
    <row r="24" spans="1:20" ht="17.399999999999999" thickBot="1" x14ac:dyDescent="0.35">
      <c r="A24" s="3">
        <v>23</v>
      </c>
      <c r="B24" s="3">
        <v>23</v>
      </c>
      <c r="C24" s="4">
        <v>45532</v>
      </c>
      <c r="D24" s="4">
        <v>45562</v>
      </c>
      <c r="E24" s="4">
        <v>45532</v>
      </c>
      <c r="F24" s="4">
        <v>45592</v>
      </c>
      <c r="G24" s="3"/>
      <c r="H24" s="5">
        <v>41.67</v>
      </c>
      <c r="I24" s="5">
        <v>41.67</v>
      </c>
      <c r="J24" s="3" t="s">
        <v>90</v>
      </c>
      <c r="K24" s="3" t="s">
        <v>90</v>
      </c>
      <c r="L24" s="3" t="s">
        <v>274</v>
      </c>
      <c r="M24" s="3" t="s">
        <v>90</v>
      </c>
      <c r="N24" s="5">
        <v>1</v>
      </c>
      <c r="O24" s="3"/>
      <c r="P24" s="17">
        <v>44887.481249999997</v>
      </c>
      <c r="Q24" s="3"/>
      <c r="R24" s="17">
        <v>44887.481249999997</v>
      </c>
      <c r="S24" s="3"/>
      <c r="T24" s="3" t="s">
        <v>90</v>
      </c>
    </row>
    <row r="25" spans="1:20" ht="17.399999999999999" thickBot="1" x14ac:dyDescent="0.35">
      <c r="A25" s="3">
        <v>24</v>
      </c>
      <c r="B25" s="3">
        <v>24</v>
      </c>
      <c r="C25" s="4">
        <v>45563</v>
      </c>
      <c r="D25" s="4">
        <v>45592</v>
      </c>
      <c r="E25" s="4">
        <v>45563</v>
      </c>
      <c r="F25" s="4">
        <v>45623</v>
      </c>
      <c r="G25" s="3"/>
      <c r="H25" s="5">
        <v>41.67</v>
      </c>
      <c r="I25" s="5">
        <v>41.67</v>
      </c>
      <c r="J25" s="3" t="s">
        <v>90</v>
      </c>
      <c r="K25" s="3" t="s">
        <v>90</v>
      </c>
      <c r="L25" s="3" t="s">
        <v>274</v>
      </c>
      <c r="M25" s="3" t="s">
        <v>90</v>
      </c>
      <c r="N25" s="5">
        <v>1</v>
      </c>
      <c r="O25" s="3"/>
      <c r="P25" s="17">
        <v>44887.481249999997</v>
      </c>
      <c r="Q25" s="3"/>
      <c r="R25" s="17">
        <v>44887.481249999997</v>
      </c>
      <c r="S25" s="3"/>
      <c r="T25" s="3" t="s">
        <v>90</v>
      </c>
    </row>
    <row r="26" spans="1:20" ht="17.399999999999999" thickBot="1" x14ac:dyDescent="0.35">
      <c r="A26" s="3">
        <v>25</v>
      </c>
      <c r="B26" s="3">
        <v>25</v>
      </c>
      <c r="C26" s="4">
        <v>45593</v>
      </c>
      <c r="D26" s="4">
        <v>45623</v>
      </c>
      <c r="E26" s="4">
        <v>45593</v>
      </c>
      <c r="F26" s="4">
        <v>45653</v>
      </c>
      <c r="G26" s="3"/>
      <c r="H26" s="5">
        <v>41.67</v>
      </c>
      <c r="I26" s="5">
        <v>41.67</v>
      </c>
      <c r="J26" s="3" t="s">
        <v>90</v>
      </c>
      <c r="K26" s="3" t="s">
        <v>90</v>
      </c>
      <c r="L26" s="3" t="s">
        <v>274</v>
      </c>
      <c r="M26" s="3" t="s">
        <v>90</v>
      </c>
      <c r="N26" s="5">
        <v>1</v>
      </c>
      <c r="O26" s="3"/>
      <c r="P26" s="17">
        <v>44887.481249999997</v>
      </c>
      <c r="Q26" s="3"/>
      <c r="R26" s="17">
        <v>44887.481249999997</v>
      </c>
      <c r="S26" s="3"/>
      <c r="T26" s="3" t="s">
        <v>90</v>
      </c>
    </row>
    <row r="27" spans="1:20" ht="17.399999999999999" thickBot="1" x14ac:dyDescent="0.35">
      <c r="A27" s="3">
        <v>26</v>
      </c>
      <c r="B27" s="3">
        <v>26</v>
      </c>
      <c r="C27" s="4">
        <v>45624</v>
      </c>
      <c r="D27" s="4">
        <v>45653</v>
      </c>
      <c r="E27" s="4">
        <v>45624</v>
      </c>
      <c r="F27" s="4">
        <v>45684</v>
      </c>
      <c r="G27" s="3"/>
      <c r="H27" s="5">
        <v>41.67</v>
      </c>
      <c r="I27" s="5">
        <v>41.67</v>
      </c>
      <c r="J27" s="3" t="s">
        <v>90</v>
      </c>
      <c r="K27" s="3" t="s">
        <v>90</v>
      </c>
      <c r="L27" s="3" t="s">
        <v>274</v>
      </c>
      <c r="M27" s="3" t="s">
        <v>90</v>
      </c>
      <c r="N27" s="5">
        <v>1</v>
      </c>
      <c r="O27" s="3"/>
      <c r="P27" s="17">
        <v>44887.481249999997</v>
      </c>
      <c r="Q27" s="3"/>
      <c r="R27" s="17">
        <v>44887.481249999997</v>
      </c>
      <c r="S27" s="3"/>
      <c r="T27" s="3" t="s">
        <v>90</v>
      </c>
    </row>
    <row r="28" spans="1:20" ht="17.399999999999999" thickBot="1" x14ac:dyDescent="0.35">
      <c r="A28" s="3">
        <v>27</v>
      </c>
      <c r="B28" s="3">
        <v>27</v>
      </c>
      <c r="C28" s="4">
        <v>45654</v>
      </c>
      <c r="D28" s="4">
        <v>45684</v>
      </c>
      <c r="E28" s="4">
        <v>45654</v>
      </c>
      <c r="F28" s="4">
        <v>45714</v>
      </c>
      <c r="G28" s="3"/>
      <c r="H28" s="5">
        <v>41.67</v>
      </c>
      <c r="I28" s="5">
        <v>41.67</v>
      </c>
      <c r="J28" s="3" t="s">
        <v>90</v>
      </c>
      <c r="K28" s="3" t="s">
        <v>90</v>
      </c>
      <c r="L28" s="3" t="s">
        <v>274</v>
      </c>
      <c r="M28" s="3" t="s">
        <v>90</v>
      </c>
      <c r="N28" s="5">
        <v>1</v>
      </c>
      <c r="O28" s="3"/>
      <c r="P28" s="17">
        <v>44887.481249999997</v>
      </c>
      <c r="Q28" s="3"/>
      <c r="R28" s="17">
        <v>44887.481249999997</v>
      </c>
      <c r="S28" s="3"/>
      <c r="T28" s="3" t="s">
        <v>90</v>
      </c>
    </row>
    <row r="29" spans="1:20" ht="17.399999999999999" thickBot="1" x14ac:dyDescent="0.35">
      <c r="A29" s="3">
        <v>28</v>
      </c>
      <c r="B29" s="3">
        <v>28</v>
      </c>
      <c r="C29" s="4">
        <v>45685</v>
      </c>
      <c r="D29" s="4">
        <v>45715</v>
      </c>
      <c r="E29" s="4">
        <v>45685</v>
      </c>
      <c r="F29" s="4">
        <v>45745</v>
      </c>
      <c r="G29" s="3"/>
      <c r="H29" s="5">
        <v>41.67</v>
      </c>
      <c r="I29" s="5">
        <v>41.67</v>
      </c>
      <c r="J29" s="3" t="s">
        <v>90</v>
      </c>
      <c r="K29" s="3" t="s">
        <v>90</v>
      </c>
      <c r="L29" s="3" t="s">
        <v>274</v>
      </c>
      <c r="M29" s="3" t="s">
        <v>90</v>
      </c>
      <c r="N29" s="5">
        <v>1</v>
      </c>
      <c r="O29" s="3"/>
      <c r="P29" s="17">
        <v>44887.481249999997</v>
      </c>
      <c r="Q29" s="3"/>
      <c r="R29" s="17">
        <v>44887.481249999997</v>
      </c>
      <c r="S29" s="3"/>
      <c r="T29" s="3" t="s">
        <v>90</v>
      </c>
    </row>
    <row r="30" spans="1:20" ht="17.399999999999999" thickBot="1" x14ac:dyDescent="0.35">
      <c r="A30" s="3">
        <v>29</v>
      </c>
      <c r="B30" s="3">
        <v>29</v>
      </c>
      <c r="C30" s="4">
        <v>45716</v>
      </c>
      <c r="D30" s="4">
        <v>45743</v>
      </c>
      <c r="E30" s="4">
        <v>45716</v>
      </c>
      <c r="F30" s="4">
        <v>45776</v>
      </c>
      <c r="G30" s="3"/>
      <c r="H30" s="5">
        <v>41.67</v>
      </c>
      <c r="I30" s="5">
        <v>41.67</v>
      </c>
      <c r="J30" s="3" t="s">
        <v>90</v>
      </c>
      <c r="K30" s="3" t="s">
        <v>90</v>
      </c>
      <c r="L30" s="3" t="s">
        <v>274</v>
      </c>
      <c r="M30" s="3" t="s">
        <v>90</v>
      </c>
      <c r="N30" s="5">
        <v>1</v>
      </c>
      <c r="O30" s="3"/>
      <c r="P30" s="17">
        <v>44887.481249999997</v>
      </c>
      <c r="Q30" s="3"/>
      <c r="R30" s="17">
        <v>44887.481249999997</v>
      </c>
      <c r="S30" s="3"/>
      <c r="T30" s="3" t="s">
        <v>90</v>
      </c>
    </row>
    <row r="31" spans="1:20" ht="17.399999999999999" thickBot="1" x14ac:dyDescent="0.35">
      <c r="A31" s="3">
        <v>30</v>
      </c>
      <c r="B31" s="3">
        <v>30</v>
      </c>
      <c r="C31" s="4">
        <v>45744</v>
      </c>
      <c r="D31" s="4">
        <v>45774</v>
      </c>
      <c r="E31" s="4">
        <v>45744</v>
      </c>
      <c r="F31" s="4">
        <v>45804</v>
      </c>
      <c r="G31" s="3"/>
      <c r="H31" s="5">
        <v>41.67</v>
      </c>
      <c r="I31" s="5">
        <v>41.67</v>
      </c>
      <c r="J31" s="3" t="s">
        <v>90</v>
      </c>
      <c r="K31" s="3" t="s">
        <v>90</v>
      </c>
      <c r="L31" s="3" t="s">
        <v>274</v>
      </c>
      <c r="M31" s="3" t="s">
        <v>90</v>
      </c>
      <c r="N31" s="5">
        <v>1</v>
      </c>
      <c r="O31" s="3"/>
      <c r="P31" s="17">
        <v>44887.481249999997</v>
      </c>
      <c r="Q31" s="3"/>
      <c r="R31" s="17">
        <v>44887.481249999997</v>
      </c>
      <c r="S31" s="3"/>
      <c r="T31" s="3" t="s">
        <v>90</v>
      </c>
    </row>
    <row r="32" spans="1:20" ht="17.399999999999999" thickBot="1" x14ac:dyDescent="0.35">
      <c r="A32" s="3">
        <v>31</v>
      </c>
      <c r="B32" s="3">
        <v>31</v>
      </c>
      <c r="C32" s="4">
        <v>45775</v>
      </c>
      <c r="D32" s="4">
        <v>45804</v>
      </c>
      <c r="E32" s="4">
        <v>45775</v>
      </c>
      <c r="F32" s="4">
        <v>45835</v>
      </c>
      <c r="G32" s="3"/>
      <c r="H32" s="5">
        <v>41.67</v>
      </c>
      <c r="I32" s="5">
        <v>41.67</v>
      </c>
      <c r="J32" s="3" t="s">
        <v>90</v>
      </c>
      <c r="K32" s="3" t="s">
        <v>90</v>
      </c>
      <c r="L32" s="3" t="s">
        <v>274</v>
      </c>
      <c r="M32" s="3" t="s">
        <v>90</v>
      </c>
      <c r="N32" s="5">
        <v>1</v>
      </c>
      <c r="O32" s="3"/>
      <c r="P32" s="17">
        <v>44887.481249999997</v>
      </c>
      <c r="Q32" s="3"/>
      <c r="R32" s="17">
        <v>44887.481249999997</v>
      </c>
      <c r="S32" s="3"/>
      <c r="T32" s="3" t="s">
        <v>90</v>
      </c>
    </row>
    <row r="33" spans="1:20" ht="17.399999999999999" thickBot="1" x14ac:dyDescent="0.35">
      <c r="A33" s="3">
        <v>32</v>
      </c>
      <c r="B33" s="3">
        <v>32</v>
      </c>
      <c r="C33" s="4">
        <v>45805</v>
      </c>
      <c r="D33" s="4">
        <v>45835</v>
      </c>
      <c r="E33" s="4">
        <v>45805</v>
      </c>
      <c r="F33" s="4">
        <v>45865</v>
      </c>
      <c r="G33" s="3"/>
      <c r="H33" s="5">
        <v>41.67</v>
      </c>
      <c r="I33" s="5">
        <v>41.67</v>
      </c>
      <c r="J33" s="3" t="s">
        <v>90</v>
      </c>
      <c r="K33" s="3" t="s">
        <v>90</v>
      </c>
      <c r="L33" s="3" t="s">
        <v>274</v>
      </c>
      <c r="M33" s="3" t="s">
        <v>90</v>
      </c>
      <c r="N33" s="5">
        <v>1</v>
      </c>
      <c r="O33" s="3"/>
      <c r="P33" s="17">
        <v>44887.481249999997</v>
      </c>
      <c r="Q33" s="3"/>
      <c r="R33" s="17">
        <v>44887.481249999997</v>
      </c>
      <c r="S33" s="3"/>
      <c r="T33" s="3" t="s">
        <v>90</v>
      </c>
    </row>
    <row r="34" spans="1:20" ht="17.399999999999999" thickBot="1" x14ac:dyDescent="0.35">
      <c r="A34" s="3">
        <v>33</v>
      </c>
      <c r="B34" s="3">
        <v>33</v>
      </c>
      <c r="C34" s="4">
        <v>45836</v>
      </c>
      <c r="D34" s="4">
        <v>45865</v>
      </c>
      <c r="E34" s="4">
        <v>45836</v>
      </c>
      <c r="F34" s="4">
        <v>45896</v>
      </c>
      <c r="G34" s="3"/>
      <c r="H34" s="5">
        <v>41.67</v>
      </c>
      <c r="I34" s="5">
        <v>41.67</v>
      </c>
      <c r="J34" s="3" t="s">
        <v>90</v>
      </c>
      <c r="K34" s="3" t="s">
        <v>90</v>
      </c>
      <c r="L34" s="3" t="s">
        <v>274</v>
      </c>
      <c r="M34" s="3" t="s">
        <v>90</v>
      </c>
      <c r="N34" s="5">
        <v>1</v>
      </c>
      <c r="O34" s="3"/>
      <c r="P34" s="17">
        <v>44887.481249999997</v>
      </c>
      <c r="Q34" s="3"/>
      <c r="R34" s="17">
        <v>44887.481249999997</v>
      </c>
      <c r="S34" s="3"/>
      <c r="T34" s="3" t="s">
        <v>90</v>
      </c>
    </row>
    <row r="35" spans="1:20" ht="17.399999999999999" thickBot="1" x14ac:dyDescent="0.35">
      <c r="A35" s="3">
        <v>34</v>
      </c>
      <c r="B35" s="3">
        <v>34</v>
      </c>
      <c r="C35" s="4">
        <v>45866</v>
      </c>
      <c r="D35" s="4">
        <v>45896</v>
      </c>
      <c r="E35" s="4">
        <v>45866</v>
      </c>
      <c r="F35" s="4">
        <v>45926</v>
      </c>
      <c r="G35" s="3"/>
      <c r="H35" s="5">
        <v>41.67</v>
      </c>
      <c r="I35" s="5">
        <v>41.67</v>
      </c>
      <c r="J35" s="3" t="s">
        <v>90</v>
      </c>
      <c r="K35" s="3" t="s">
        <v>90</v>
      </c>
      <c r="L35" s="3" t="s">
        <v>274</v>
      </c>
      <c r="M35" s="3" t="s">
        <v>90</v>
      </c>
      <c r="N35" s="5">
        <v>1</v>
      </c>
      <c r="O35" s="3"/>
      <c r="P35" s="17">
        <v>44887.481249999997</v>
      </c>
      <c r="Q35" s="3"/>
      <c r="R35" s="17">
        <v>44887.481249999997</v>
      </c>
      <c r="S35" s="3"/>
      <c r="T35" s="3" t="s">
        <v>90</v>
      </c>
    </row>
    <row r="36" spans="1:20" ht="17.399999999999999" thickBot="1" x14ac:dyDescent="0.35">
      <c r="A36" s="3">
        <v>35</v>
      </c>
      <c r="B36" s="3">
        <v>35</v>
      </c>
      <c r="C36" s="4">
        <v>45897</v>
      </c>
      <c r="D36" s="4">
        <v>45927</v>
      </c>
      <c r="E36" s="4">
        <v>45897</v>
      </c>
      <c r="F36" s="4">
        <v>45957</v>
      </c>
      <c r="G36" s="3"/>
      <c r="H36" s="5">
        <v>41.67</v>
      </c>
      <c r="I36" s="5">
        <v>41.67</v>
      </c>
      <c r="J36" s="3" t="s">
        <v>90</v>
      </c>
      <c r="K36" s="3" t="s">
        <v>90</v>
      </c>
      <c r="L36" s="3" t="s">
        <v>274</v>
      </c>
      <c r="M36" s="3" t="s">
        <v>90</v>
      </c>
      <c r="N36" s="5">
        <v>1</v>
      </c>
      <c r="O36" s="3"/>
      <c r="P36" s="17">
        <v>44887.481249999997</v>
      </c>
      <c r="Q36" s="3"/>
      <c r="R36" s="17">
        <v>44887.481249999997</v>
      </c>
      <c r="S36" s="3"/>
      <c r="T36" s="3" t="s">
        <v>90</v>
      </c>
    </row>
    <row r="37" spans="1:20" ht="16.8" x14ac:dyDescent="0.3">
      <c r="A37" s="3">
        <v>36</v>
      </c>
      <c r="B37" s="3">
        <v>36</v>
      </c>
      <c r="C37" s="4">
        <v>45928</v>
      </c>
      <c r="D37" s="4">
        <v>45957</v>
      </c>
      <c r="E37" s="4">
        <v>45928</v>
      </c>
      <c r="F37" s="4">
        <v>45988</v>
      </c>
      <c r="G37" s="3"/>
      <c r="H37" s="5">
        <v>41.67</v>
      </c>
      <c r="I37" s="5">
        <v>41.67</v>
      </c>
      <c r="J37" s="3" t="s">
        <v>90</v>
      </c>
      <c r="K37" s="3" t="s">
        <v>90</v>
      </c>
      <c r="L37" s="3" t="s">
        <v>274</v>
      </c>
      <c r="M37" s="3" t="s">
        <v>90</v>
      </c>
      <c r="N37" s="5">
        <v>1</v>
      </c>
      <c r="O37" s="3"/>
      <c r="P37" s="17">
        <v>44887.481249999997</v>
      </c>
      <c r="Q37" s="3"/>
      <c r="R37" s="17">
        <v>44887.481249999997</v>
      </c>
      <c r="S37" s="3"/>
      <c r="T37" s="3" t="s">
        <v>90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8DC6B1E7561A4A94DA22465EDE8788" ma:contentTypeVersion="11" ma:contentTypeDescription="Vytvoří nový dokument" ma:contentTypeScope="" ma:versionID="398a30d2b86afe3a6991db8d45d283fa">
  <xsd:schema xmlns:xsd="http://www.w3.org/2001/XMLSchema" xmlns:xs="http://www.w3.org/2001/XMLSchema" xmlns:p="http://schemas.microsoft.com/office/2006/metadata/properties" xmlns:ns2="af0626f7-8744-42f7-abda-54aacc191e0d" xmlns:ns3="fa859161-4e3b-4700-ac99-89c843124273" targetNamespace="http://schemas.microsoft.com/office/2006/metadata/properties" ma:root="true" ma:fieldsID="917312f9846bf12290a41767e8811513" ns2:_="" ns3:_="">
    <xsd:import namespace="af0626f7-8744-42f7-abda-54aacc191e0d"/>
    <xsd:import namespace="fa859161-4e3b-4700-ac99-89c8431242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626f7-8744-42f7-abda-54aacc191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59161-4e3b-4700-ac99-89c84312427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8F1021-5450-49E3-BA4B-BE53403FF3D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fa859161-4e3b-4700-ac99-89c843124273"/>
    <ds:schemaRef ds:uri="af0626f7-8744-42f7-abda-54aacc191e0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D67B3CC-7254-40BE-8795-E3A186CA31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0626f7-8744-42f7-abda-54aacc191e0d"/>
    <ds:schemaRef ds:uri="fa859161-4e3b-4700-ac99-89c8431242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C75F06-B30F-4659-AEF8-F6300AFD3D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Výpočet KK 36M</vt:lpstr>
      <vt:lpstr>Výpočet KK 24 M</vt:lpstr>
      <vt:lpstr>Výpočet KK 36M poj. s DPH</vt:lpstr>
      <vt:lpstr>Výpočet JK</vt:lpstr>
      <vt:lpstr>SPK</vt:lpstr>
      <vt:lpstr>PZP</vt:lpstr>
      <vt:lpstr>KASKO</vt:lpstr>
      <vt:lpstr>SKLO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Krchák (AXIOM PROVIS Int.)</dc:creator>
  <cp:keywords/>
  <dc:description/>
  <cp:lastModifiedBy>Nagy Tomáš</cp:lastModifiedBy>
  <cp:revision/>
  <dcterms:created xsi:type="dcterms:W3CDTF">2022-11-22T11:00:46Z</dcterms:created>
  <dcterms:modified xsi:type="dcterms:W3CDTF">2024-06-12T13:39:41Z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0x010100B28DC6B1E7561A4A94DA22465EDE8788</vt:lpwstr>
  </property>
</Properties>
</file>